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CMTNStudent\Downloads\"/>
    </mc:Choice>
  </mc:AlternateContent>
  <xr:revisionPtr revIDLastSave="0" documentId="8_{8F6C767D-E360-497C-A37D-F9CC2D5EEA44}" xr6:coauthVersionLast="36" xr6:coauthVersionMax="36" xr10:uidLastSave="{00000000-0000-0000-0000-000000000000}"/>
  <bookViews>
    <workbookView xWindow="0" yWindow="0" windowWidth="20490" windowHeight="7425" firstSheet="7" activeTab="9" xr2:uid="{00000000-000D-0000-FFFF-FFFF00000000}"/>
  </bookViews>
  <sheets>
    <sheet name="Start Up Cost" sheetId="4" r:id="rId1"/>
    <sheet name="Income Statement Year 1" sheetId="1" r:id="rId2"/>
    <sheet name="Balance sheet Year 1" sheetId="6" r:id="rId3"/>
    <sheet name="Cash Flow Statement Year 1" sheetId="5" r:id="rId4"/>
    <sheet name="Income Statment Year 2" sheetId="2" r:id="rId5"/>
    <sheet name="Balance sheet Year 2" sheetId="7" r:id="rId6"/>
    <sheet name="Cash Flow statement Year 2" sheetId="9" r:id="rId7"/>
    <sheet name="Income Statment Year 3" sheetId="3" r:id="rId8"/>
    <sheet name="Balance sheet Year 3" sheetId="8" r:id="rId9"/>
    <sheet name="Cash Flow statement Year 3" sheetId="10"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6" l="1"/>
  <c r="C8" i="5" s="1"/>
  <c r="E9" i="6"/>
  <c r="C19" i="9"/>
  <c r="E14" i="8"/>
  <c r="C8" i="7"/>
  <c r="C7" i="9" s="1"/>
  <c r="E14" i="7"/>
  <c r="E6" i="7"/>
  <c r="E9" i="7" s="1"/>
  <c r="C14" i="7"/>
  <c r="C15" i="7" s="1"/>
  <c r="C9" i="7"/>
  <c r="C9" i="8" s="1"/>
  <c r="C7" i="7"/>
  <c r="C7" i="8" s="1"/>
  <c r="C6" i="7"/>
  <c r="C6" i="8" s="1"/>
  <c r="E14" i="6"/>
  <c r="E11" i="6"/>
  <c r="E11" i="7" s="1"/>
  <c r="E11" i="8" s="1"/>
  <c r="C15" i="6"/>
  <c r="C13" i="6"/>
  <c r="C13" i="7" s="1"/>
  <c r="C6" i="6"/>
  <c r="C9" i="6"/>
  <c r="C14" i="9" l="1"/>
  <c r="C15" i="9" s="1"/>
  <c r="C13" i="8"/>
  <c r="C14" i="10" s="1"/>
  <c r="C15" i="10" s="1"/>
  <c r="C16" i="7"/>
  <c r="C15" i="5"/>
  <c r="E12" i="7"/>
  <c r="E6" i="8"/>
  <c r="E9" i="8" s="1"/>
  <c r="C14" i="8"/>
  <c r="C15" i="8" s="1"/>
  <c r="C8" i="8"/>
  <c r="C7" i="10" s="1"/>
  <c r="E12" i="8"/>
  <c r="C10" i="7"/>
  <c r="H5" i="3"/>
  <c r="H4" i="3"/>
  <c r="H3" i="3"/>
  <c r="B13" i="3" s="1"/>
  <c r="I4" i="2"/>
  <c r="B12" i="2" s="1"/>
  <c r="C12" i="2" s="1"/>
  <c r="D12" i="2" s="1"/>
  <c r="E12" i="2" s="1"/>
  <c r="F12" i="2" s="1"/>
  <c r="G12" i="2" s="1"/>
  <c r="H12" i="2" s="1"/>
  <c r="I12" i="2" s="1"/>
  <c r="J12" i="2" s="1"/>
  <c r="K12" i="2" s="1"/>
  <c r="L12" i="2" s="1"/>
  <c r="M12" i="2" s="1"/>
  <c r="I3" i="2"/>
  <c r="I2" i="2"/>
  <c r="I5" i="1"/>
  <c r="I4" i="1"/>
  <c r="B12" i="1" s="1"/>
  <c r="I3" i="1"/>
  <c r="H39" i="1"/>
  <c r="H38" i="1"/>
  <c r="H41" i="1" s="1"/>
  <c r="H37" i="1"/>
  <c r="C12" i="1" l="1"/>
  <c r="D12" i="1" s="1"/>
  <c r="E12" i="1" s="1"/>
  <c r="F12" i="1" s="1"/>
  <c r="G12" i="1" s="1"/>
  <c r="H12" i="1" s="1"/>
  <c r="I12" i="1" s="1"/>
  <c r="J12" i="1" s="1"/>
  <c r="K12" i="1" s="1"/>
  <c r="L12" i="1" s="1"/>
  <c r="M12" i="1" s="1"/>
  <c r="N12" i="1"/>
  <c r="I6" i="2"/>
  <c r="C17" i="7"/>
  <c r="I7" i="1"/>
  <c r="C16" i="8"/>
  <c r="C10" i="8"/>
  <c r="C17" i="8" s="1"/>
  <c r="H7" i="3"/>
  <c r="C20" i="5"/>
  <c r="C16" i="5"/>
  <c r="C5" i="5" l="1"/>
  <c r="C16" i="6" l="1"/>
  <c r="E12" i="6"/>
  <c r="C10" i="6"/>
  <c r="E12" i="4"/>
  <c r="D17" i="4"/>
  <c r="N27" i="3"/>
  <c r="B26" i="3"/>
  <c r="C26" i="3" s="1"/>
  <c r="D26" i="3" s="1"/>
  <c r="E26" i="3" s="1"/>
  <c r="F26" i="3" s="1"/>
  <c r="G26" i="3" s="1"/>
  <c r="H26" i="3" s="1"/>
  <c r="I26" i="3" s="1"/>
  <c r="J26" i="3" s="1"/>
  <c r="K26" i="3" s="1"/>
  <c r="L26" i="3" s="1"/>
  <c r="M26" i="3" s="1"/>
  <c r="C25" i="3"/>
  <c r="D25" i="3" s="1"/>
  <c r="E25" i="3" s="1"/>
  <c r="F25" i="3" s="1"/>
  <c r="G25" i="3" s="1"/>
  <c r="H25" i="3" s="1"/>
  <c r="I25" i="3" s="1"/>
  <c r="J25" i="3" s="1"/>
  <c r="K25" i="3" s="1"/>
  <c r="L25" i="3" s="1"/>
  <c r="M25" i="3" s="1"/>
  <c r="C24" i="3"/>
  <c r="D24" i="3" s="1"/>
  <c r="E24" i="3" s="1"/>
  <c r="F24" i="3" s="1"/>
  <c r="G24" i="3" s="1"/>
  <c r="H24" i="3" s="1"/>
  <c r="I24" i="3" s="1"/>
  <c r="J24" i="3" s="1"/>
  <c r="K24" i="3" s="1"/>
  <c r="L24" i="3" s="1"/>
  <c r="M24" i="3" s="1"/>
  <c r="D23" i="3"/>
  <c r="E23" i="3" s="1"/>
  <c r="F23" i="3" s="1"/>
  <c r="G23" i="3" s="1"/>
  <c r="H23" i="3" s="1"/>
  <c r="I23" i="3" s="1"/>
  <c r="J23" i="3" s="1"/>
  <c r="K23" i="3" s="1"/>
  <c r="L23" i="3" s="1"/>
  <c r="M23" i="3" s="1"/>
  <c r="C23" i="3"/>
  <c r="C22" i="3"/>
  <c r="D22" i="3" s="1"/>
  <c r="E22" i="3" s="1"/>
  <c r="F22" i="3" s="1"/>
  <c r="G22" i="3" s="1"/>
  <c r="H22" i="3" s="1"/>
  <c r="I22" i="3" s="1"/>
  <c r="J22" i="3" s="1"/>
  <c r="K22" i="3" s="1"/>
  <c r="L22" i="3" s="1"/>
  <c r="M22" i="3" s="1"/>
  <c r="C21" i="3"/>
  <c r="D21" i="3" s="1"/>
  <c r="E21" i="3" s="1"/>
  <c r="F21" i="3" s="1"/>
  <c r="G21" i="3" s="1"/>
  <c r="H21" i="3" s="1"/>
  <c r="I21" i="3" s="1"/>
  <c r="J21" i="3" s="1"/>
  <c r="K21" i="3" s="1"/>
  <c r="L21" i="3" s="1"/>
  <c r="M21" i="3" s="1"/>
  <c r="C20" i="3"/>
  <c r="D20" i="3" s="1"/>
  <c r="E20" i="3" s="1"/>
  <c r="F20" i="3" s="1"/>
  <c r="G20" i="3" s="1"/>
  <c r="H20" i="3" s="1"/>
  <c r="I20" i="3" s="1"/>
  <c r="J20" i="3" s="1"/>
  <c r="K20" i="3" s="1"/>
  <c r="L20" i="3" s="1"/>
  <c r="M20" i="3" s="1"/>
  <c r="C19" i="3"/>
  <c r="D19" i="3" s="1"/>
  <c r="E19" i="3" s="1"/>
  <c r="F19" i="3" s="1"/>
  <c r="G19" i="3" s="1"/>
  <c r="H19" i="3" s="1"/>
  <c r="I19" i="3" s="1"/>
  <c r="J19" i="3" s="1"/>
  <c r="K19" i="3" s="1"/>
  <c r="L19" i="3" s="1"/>
  <c r="M19" i="3" s="1"/>
  <c r="B16" i="3"/>
  <c r="C15" i="3"/>
  <c r="C14" i="3"/>
  <c r="C13" i="3"/>
  <c r="B25" i="2"/>
  <c r="C25" i="2" s="1"/>
  <c r="D25" i="2" s="1"/>
  <c r="E25" i="2" s="1"/>
  <c r="F25" i="2" s="1"/>
  <c r="G25" i="2" s="1"/>
  <c r="H25" i="2" s="1"/>
  <c r="I25" i="2" s="1"/>
  <c r="J25" i="2" s="1"/>
  <c r="K25" i="2" s="1"/>
  <c r="L25" i="2" s="1"/>
  <c r="M25" i="2" s="1"/>
  <c r="C24" i="2"/>
  <c r="D24" i="2" s="1"/>
  <c r="E24" i="2" s="1"/>
  <c r="F24" i="2" s="1"/>
  <c r="G24" i="2" s="1"/>
  <c r="H24" i="2" s="1"/>
  <c r="I24" i="2" s="1"/>
  <c r="J24" i="2" s="1"/>
  <c r="K24" i="2" s="1"/>
  <c r="L24" i="2" s="1"/>
  <c r="M24" i="2" s="1"/>
  <c r="C23" i="2"/>
  <c r="D23" i="2" s="1"/>
  <c r="E23" i="2" s="1"/>
  <c r="F23" i="2" s="1"/>
  <c r="G23" i="2" s="1"/>
  <c r="H23" i="2" s="1"/>
  <c r="I23" i="2" s="1"/>
  <c r="J23" i="2" s="1"/>
  <c r="K23" i="2" s="1"/>
  <c r="L23" i="2" s="1"/>
  <c r="M23" i="2" s="1"/>
  <c r="C22" i="2"/>
  <c r="D22" i="2" s="1"/>
  <c r="E22" i="2" s="1"/>
  <c r="F22" i="2" s="1"/>
  <c r="G22" i="2" s="1"/>
  <c r="H22" i="2" s="1"/>
  <c r="I22" i="2" s="1"/>
  <c r="J22" i="2" s="1"/>
  <c r="K22" i="2" s="1"/>
  <c r="L22" i="2" s="1"/>
  <c r="M22" i="2" s="1"/>
  <c r="C21" i="2"/>
  <c r="D21" i="2" s="1"/>
  <c r="E21" i="2" s="1"/>
  <c r="F21" i="2" s="1"/>
  <c r="G21" i="2" s="1"/>
  <c r="H21" i="2" s="1"/>
  <c r="I21" i="2" s="1"/>
  <c r="J21" i="2" s="1"/>
  <c r="K21" i="2" s="1"/>
  <c r="L21" i="2" s="1"/>
  <c r="M21" i="2" s="1"/>
  <c r="C20" i="2"/>
  <c r="D20" i="2" s="1"/>
  <c r="E20" i="2" s="1"/>
  <c r="F20" i="2" s="1"/>
  <c r="G20" i="2" s="1"/>
  <c r="H20" i="2" s="1"/>
  <c r="I20" i="2" s="1"/>
  <c r="J20" i="2" s="1"/>
  <c r="K20" i="2" s="1"/>
  <c r="L20" i="2" s="1"/>
  <c r="M20" i="2" s="1"/>
  <c r="C19" i="2"/>
  <c r="D19" i="2" s="1"/>
  <c r="E19" i="2" s="1"/>
  <c r="F19" i="2" s="1"/>
  <c r="G19" i="2" s="1"/>
  <c r="H19" i="2" s="1"/>
  <c r="I19" i="2" s="1"/>
  <c r="J19" i="2" s="1"/>
  <c r="K19" i="2" s="1"/>
  <c r="L19" i="2" s="1"/>
  <c r="M19" i="2" s="1"/>
  <c r="C18" i="2"/>
  <c r="D18" i="2" s="1"/>
  <c r="E18" i="2" s="1"/>
  <c r="F18" i="2" s="1"/>
  <c r="G18" i="2" s="1"/>
  <c r="H18" i="2" s="1"/>
  <c r="I18" i="2" s="1"/>
  <c r="J18" i="2" s="1"/>
  <c r="K18" i="2" s="1"/>
  <c r="L18" i="2" s="1"/>
  <c r="M18" i="2" s="1"/>
  <c r="B15" i="2"/>
  <c r="C14" i="2"/>
  <c r="D14" i="2" s="1"/>
  <c r="E14" i="2" s="1"/>
  <c r="F14" i="2" s="1"/>
  <c r="G14" i="2" s="1"/>
  <c r="H14" i="2" s="1"/>
  <c r="I14" i="2" s="1"/>
  <c r="J14" i="2" s="1"/>
  <c r="K14" i="2" s="1"/>
  <c r="L14" i="2" s="1"/>
  <c r="M14" i="2" s="1"/>
  <c r="C13" i="2"/>
  <c r="D13" i="2" s="1"/>
  <c r="E13" i="2" s="1"/>
  <c r="F13" i="2" s="1"/>
  <c r="G13" i="2" s="1"/>
  <c r="H13" i="2" s="1"/>
  <c r="I13" i="2" s="1"/>
  <c r="J13" i="2" s="1"/>
  <c r="K13" i="2" s="1"/>
  <c r="L13" i="2" s="1"/>
  <c r="M13" i="2" s="1"/>
  <c r="C19" i="1"/>
  <c r="D19" i="1" s="1"/>
  <c r="E19" i="1" s="1"/>
  <c r="F19" i="1" s="1"/>
  <c r="G19" i="1" s="1"/>
  <c r="H19" i="1" s="1"/>
  <c r="I19" i="1" s="1"/>
  <c r="J19" i="1" s="1"/>
  <c r="K19" i="1" s="1"/>
  <c r="L19" i="1" s="1"/>
  <c r="M19" i="1" s="1"/>
  <c r="C20" i="1"/>
  <c r="D20" i="1" s="1"/>
  <c r="E20" i="1" s="1"/>
  <c r="F20" i="1" s="1"/>
  <c r="G20" i="1" s="1"/>
  <c r="H20" i="1" s="1"/>
  <c r="I20" i="1" s="1"/>
  <c r="J20" i="1" s="1"/>
  <c r="K20" i="1" s="1"/>
  <c r="L20" i="1" s="1"/>
  <c r="M20" i="1" s="1"/>
  <c r="C21" i="1"/>
  <c r="D21" i="1" s="1"/>
  <c r="E21" i="1" s="1"/>
  <c r="F21" i="1" s="1"/>
  <c r="G21" i="1" s="1"/>
  <c r="H21" i="1" s="1"/>
  <c r="I21" i="1" s="1"/>
  <c r="J21" i="1" s="1"/>
  <c r="K21" i="1" s="1"/>
  <c r="L21" i="1" s="1"/>
  <c r="M21" i="1" s="1"/>
  <c r="C22" i="1"/>
  <c r="D22" i="1"/>
  <c r="E22" i="1" s="1"/>
  <c r="F22" i="1" s="1"/>
  <c r="G22" i="1" s="1"/>
  <c r="H22" i="1" s="1"/>
  <c r="I22" i="1" s="1"/>
  <c r="J22" i="1" s="1"/>
  <c r="K22" i="1" s="1"/>
  <c r="L22" i="1" s="1"/>
  <c r="M22" i="1" s="1"/>
  <c r="C23" i="1"/>
  <c r="D23" i="1" s="1"/>
  <c r="E23" i="1" s="1"/>
  <c r="F23" i="1" s="1"/>
  <c r="G23" i="1" s="1"/>
  <c r="H23" i="1" s="1"/>
  <c r="I23" i="1" s="1"/>
  <c r="J23" i="1" s="1"/>
  <c r="K23" i="1" s="1"/>
  <c r="L23" i="1" s="1"/>
  <c r="M23" i="1" s="1"/>
  <c r="C24" i="1"/>
  <c r="D24" i="1" s="1"/>
  <c r="E24" i="1" s="1"/>
  <c r="F24" i="1" s="1"/>
  <c r="G24" i="1" s="1"/>
  <c r="H24" i="1" s="1"/>
  <c r="I24" i="1" s="1"/>
  <c r="J24" i="1" s="1"/>
  <c r="K24" i="1" s="1"/>
  <c r="L24" i="1" s="1"/>
  <c r="M24" i="1" s="1"/>
  <c r="C18" i="1"/>
  <c r="D18" i="1" s="1"/>
  <c r="E18" i="1" s="1"/>
  <c r="F18" i="1" s="1"/>
  <c r="G18" i="1" s="1"/>
  <c r="H18" i="1" s="1"/>
  <c r="I18" i="1" s="1"/>
  <c r="J18" i="1" s="1"/>
  <c r="K18" i="1" s="1"/>
  <c r="L18" i="1" s="1"/>
  <c r="M18" i="1" s="1"/>
  <c r="B25" i="1"/>
  <c r="C25" i="1" s="1"/>
  <c r="D25" i="1" s="1"/>
  <c r="E25" i="1" s="1"/>
  <c r="F25" i="1" s="1"/>
  <c r="G25" i="1" s="1"/>
  <c r="H25" i="1" s="1"/>
  <c r="I25" i="1" s="1"/>
  <c r="J25" i="1" s="1"/>
  <c r="K25" i="1" s="1"/>
  <c r="L25" i="1" s="1"/>
  <c r="M25" i="1" s="1"/>
  <c r="B15" i="1"/>
  <c r="C14" i="1"/>
  <c r="D14" i="1" s="1"/>
  <c r="E14" i="1" s="1"/>
  <c r="F14" i="1" s="1"/>
  <c r="G14" i="1" s="1"/>
  <c r="H14" i="1" s="1"/>
  <c r="I14" i="1" s="1"/>
  <c r="J14" i="1" s="1"/>
  <c r="K14" i="1" s="1"/>
  <c r="L14" i="1" s="1"/>
  <c r="M14" i="1" s="1"/>
  <c r="C13" i="1"/>
  <c r="D13" i="1" s="1"/>
  <c r="E13" i="1" s="1"/>
  <c r="F13" i="1" s="1"/>
  <c r="G13" i="1" s="1"/>
  <c r="H13" i="1" s="1"/>
  <c r="I13" i="1" s="1"/>
  <c r="J13" i="1" s="1"/>
  <c r="K13" i="1" s="1"/>
  <c r="L13" i="1" s="1"/>
  <c r="M13" i="1" s="1"/>
  <c r="N19" i="1" l="1"/>
  <c r="N22" i="2"/>
  <c r="N26" i="2"/>
  <c r="N23" i="2"/>
  <c r="N22" i="1"/>
  <c r="N14" i="1"/>
  <c r="N13" i="1"/>
  <c r="N21" i="1"/>
  <c r="N18" i="1"/>
  <c r="N25" i="2"/>
  <c r="C8" i="9" s="1"/>
  <c r="N20" i="1"/>
  <c r="N23" i="1"/>
  <c r="N25" i="1"/>
  <c r="C9" i="5" s="1"/>
  <c r="N24" i="1"/>
  <c r="C17" i="6"/>
  <c r="B28" i="3"/>
  <c r="B29" i="3" s="1"/>
  <c r="B30" i="3" s="1"/>
  <c r="D13" i="3"/>
  <c r="C16" i="3"/>
  <c r="D15" i="3"/>
  <c r="E15" i="3" s="1"/>
  <c r="F15" i="3" s="1"/>
  <c r="G15" i="3" s="1"/>
  <c r="H15" i="3" s="1"/>
  <c r="I15" i="3" s="1"/>
  <c r="J15" i="3" s="1"/>
  <c r="K15" i="3" s="1"/>
  <c r="L15" i="3" s="1"/>
  <c r="M15" i="3" s="1"/>
  <c r="D14" i="3"/>
  <c r="E14" i="3" s="1"/>
  <c r="F14" i="3" s="1"/>
  <c r="G14" i="3" s="1"/>
  <c r="H14" i="3" s="1"/>
  <c r="I14" i="3" s="1"/>
  <c r="J14" i="3" s="1"/>
  <c r="K14" i="3" s="1"/>
  <c r="L14" i="3" s="1"/>
  <c r="M14" i="3" s="1"/>
  <c r="N19" i="3"/>
  <c r="N20" i="3"/>
  <c r="N21" i="3"/>
  <c r="N22" i="3"/>
  <c r="N23" i="3"/>
  <c r="N24" i="3"/>
  <c r="N25" i="3"/>
  <c r="N26" i="3"/>
  <c r="C8" i="10" s="1"/>
  <c r="D15" i="2"/>
  <c r="D27" i="2" s="1"/>
  <c r="C15" i="2"/>
  <c r="C27" i="2" s="1"/>
  <c r="B27" i="2"/>
  <c r="B27" i="1"/>
  <c r="C15" i="1"/>
  <c r="C27" i="1" s="1"/>
  <c r="C28" i="1" l="1"/>
  <c r="C29" i="1" s="1"/>
  <c r="B28" i="1"/>
  <c r="B29" i="1" s="1"/>
  <c r="N15" i="3"/>
  <c r="D16" i="3"/>
  <c r="D28" i="3" s="1"/>
  <c r="E13" i="3"/>
  <c r="C28" i="3"/>
  <c r="N14" i="3"/>
  <c r="E15" i="2"/>
  <c r="E27" i="2" s="1"/>
  <c r="B28" i="2"/>
  <c r="C28" i="2"/>
  <c r="C29" i="2" s="1"/>
  <c r="D28" i="2"/>
  <c r="D29" i="2" s="1"/>
  <c r="D15" i="1"/>
  <c r="D27" i="1" s="1"/>
  <c r="B29" i="2" l="1"/>
  <c r="D28" i="1"/>
  <c r="D29" i="1" s="1"/>
  <c r="E16" i="3"/>
  <c r="F13" i="3"/>
  <c r="D29" i="3"/>
  <c r="D30" i="3" s="1"/>
  <c r="C29" i="3"/>
  <c r="C30" i="3" s="1"/>
  <c r="E28" i="2"/>
  <c r="E29" i="2" s="1"/>
  <c r="F15" i="2"/>
  <c r="F27" i="2" s="1"/>
  <c r="E15" i="1"/>
  <c r="E27" i="1" l="1"/>
  <c r="E28" i="1" s="1"/>
  <c r="E29" i="1" s="1"/>
  <c r="G13" i="3"/>
  <c r="F16" i="3"/>
  <c r="F28" i="3" s="1"/>
  <c r="E28" i="3"/>
  <c r="G15" i="2"/>
  <c r="G27" i="2" s="1"/>
  <c r="F28" i="2"/>
  <c r="F15" i="1"/>
  <c r="F27" i="1" s="1"/>
  <c r="F29" i="2" l="1"/>
  <c r="F28" i="1"/>
  <c r="F29" i="1" s="1"/>
  <c r="E29" i="3"/>
  <c r="G16" i="3"/>
  <c r="H13" i="3"/>
  <c r="F29" i="3"/>
  <c r="F30" i="3" s="1"/>
  <c r="G28" i="2"/>
  <c r="G29" i="2" s="1"/>
  <c r="H15" i="2"/>
  <c r="H27" i="2" s="1"/>
  <c r="G15" i="1"/>
  <c r="G27" i="1" s="1"/>
  <c r="G28" i="1" l="1"/>
  <c r="G29" i="1" s="1"/>
  <c r="G28" i="3"/>
  <c r="H16" i="3"/>
  <c r="H28" i="3" s="1"/>
  <c r="I13" i="3"/>
  <c r="E30" i="3"/>
  <c r="H28" i="2"/>
  <c r="H29" i="2" s="1"/>
  <c r="I15" i="2"/>
  <c r="I27" i="2" s="1"/>
  <c r="H15" i="1"/>
  <c r="H27" i="1" s="1"/>
  <c r="H28" i="1" l="1"/>
  <c r="H29" i="1" s="1"/>
  <c r="H29" i="3"/>
  <c r="H30" i="3" s="1"/>
  <c r="I16" i="3"/>
  <c r="I28" i="3" s="1"/>
  <c r="J13" i="3"/>
  <c r="G29" i="3"/>
  <c r="G30" i="3" s="1"/>
  <c r="I28" i="2"/>
  <c r="I29" i="2" s="1"/>
  <c r="J15" i="2"/>
  <c r="J27" i="2" s="1"/>
  <c r="N24" i="2"/>
  <c r="I15" i="1"/>
  <c r="I27" i="1" s="1"/>
  <c r="I28" i="1" l="1"/>
  <c r="I29" i="1" s="1"/>
  <c r="J16" i="3"/>
  <c r="K13" i="3"/>
  <c r="I29" i="3"/>
  <c r="I30" i="3" s="1"/>
  <c r="K15" i="2"/>
  <c r="J28" i="2"/>
  <c r="J29" i="2" s="1"/>
  <c r="J15" i="1"/>
  <c r="J27" i="1" s="1"/>
  <c r="K27" i="2" l="1"/>
  <c r="K28" i="2" s="1"/>
  <c r="K29" i="2" s="1"/>
  <c r="J28" i="1"/>
  <c r="J29" i="1" s="1"/>
  <c r="L13" i="3"/>
  <c r="K16" i="3"/>
  <c r="K28" i="3" s="1"/>
  <c r="J28" i="3"/>
  <c r="L15" i="2"/>
  <c r="M15" i="2"/>
  <c r="M27" i="2" s="1"/>
  <c r="K15" i="1"/>
  <c r="K27" i="1" s="1"/>
  <c r="N12" i="2" l="1"/>
  <c r="C4" i="9" s="1"/>
  <c r="N21" i="2"/>
  <c r="N20" i="2"/>
  <c r="N19" i="2"/>
  <c r="N18" i="2"/>
  <c r="N17" i="2"/>
  <c r="N14" i="2"/>
  <c r="N16" i="2"/>
  <c r="N13" i="2"/>
  <c r="L27" i="2"/>
  <c r="N27" i="2" s="1"/>
  <c r="N15" i="2"/>
  <c r="K28" i="1"/>
  <c r="K29" i="1" s="1"/>
  <c r="J29" i="3"/>
  <c r="J30" i="3" s="1"/>
  <c r="K29" i="3"/>
  <c r="K30" i="3" s="1"/>
  <c r="L16" i="3"/>
  <c r="L28" i="3" s="1"/>
  <c r="M13" i="3"/>
  <c r="M28" i="2"/>
  <c r="L15" i="1"/>
  <c r="L27" i="1" s="1"/>
  <c r="L28" i="2" l="1"/>
  <c r="L29" i="2" s="1"/>
  <c r="E15" i="7" s="1"/>
  <c r="E16" i="7" s="1"/>
  <c r="E17" i="7" s="1"/>
  <c r="M15" i="1"/>
  <c r="M29" i="2"/>
  <c r="L28" i="1"/>
  <c r="L29" i="1" s="1"/>
  <c r="M16" i="3"/>
  <c r="N13" i="3"/>
  <c r="C4" i="10" s="1"/>
  <c r="L29" i="3"/>
  <c r="L30" i="3" s="1"/>
  <c r="N28" i="2" l="1"/>
  <c r="C9" i="9" s="1"/>
  <c r="C10" i="9" s="1"/>
  <c r="C21" i="9" s="1"/>
  <c r="N29" i="2"/>
  <c r="M27" i="1"/>
  <c r="N15" i="1"/>
  <c r="M28" i="3"/>
  <c r="N16" i="3"/>
  <c r="M28" i="1" l="1"/>
  <c r="N27" i="1"/>
  <c r="M29" i="3"/>
  <c r="N29" i="3" s="1"/>
  <c r="C9" i="10" s="1"/>
  <c r="C10" i="10" s="1"/>
  <c r="C21" i="10" s="1"/>
  <c r="N28" i="3"/>
  <c r="M29" i="1" l="1"/>
  <c r="N28" i="1"/>
  <c r="C10" i="5" s="1"/>
  <c r="C11" i="5" s="1"/>
  <c r="C22" i="5" s="1"/>
  <c r="M30" i="3"/>
  <c r="N30" i="3" l="1"/>
  <c r="E15" i="8"/>
  <c r="E16" i="8" s="1"/>
  <c r="E17" i="8" s="1"/>
  <c r="N29" i="1"/>
  <c r="E15" i="6"/>
  <c r="E16" i="6" s="1"/>
  <c r="E17" i="6" s="1"/>
</calcChain>
</file>

<file path=xl/sharedStrings.xml><?xml version="1.0" encoding="utf-8"?>
<sst xmlns="http://schemas.openxmlformats.org/spreadsheetml/2006/main" count="289" uniqueCount="101">
  <si>
    <t>Sales</t>
  </si>
  <si>
    <t>Gross Margin</t>
  </si>
  <si>
    <t>Maintenance</t>
  </si>
  <si>
    <t>Telephone</t>
  </si>
  <si>
    <t>Total Operating Expenses</t>
  </si>
  <si>
    <t>Net Profit</t>
  </si>
  <si>
    <t>Pro Forma Balance Sheet</t>
  </si>
  <si>
    <t>Assets</t>
  </si>
  <si>
    <t>Year1</t>
  </si>
  <si>
    <t>Current Assets</t>
  </si>
  <si>
    <t>Cash</t>
  </si>
  <si>
    <t>Accounts Receivable</t>
  </si>
  <si>
    <t>Inventory</t>
  </si>
  <si>
    <t>Other Current Assets</t>
  </si>
  <si>
    <t>Total Current Assets</t>
  </si>
  <si>
    <t>Long-term Assets</t>
  </si>
  <si>
    <t>Accumulated Depreciation</t>
  </si>
  <si>
    <t>Total Long-term Assets</t>
  </si>
  <si>
    <t>Total Assets</t>
  </si>
  <si>
    <t>Liabilities and Capital</t>
  </si>
  <si>
    <t>Year 1</t>
  </si>
  <si>
    <t>Current Liabilities</t>
  </si>
  <si>
    <t>Accounts Payable</t>
  </si>
  <si>
    <t>Current Borrowing</t>
  </si>
  <si>
    <t>Other Current Liabilities</t>
  </si>
  <si>
    <t>Long-term Liabilities</t>
  </si>
  <si>
    <t>Total Liabilities</t>
  </si>
  <si>
    <t>Paid-in Capital</t>
  </si>
  <si>
    <t>Retained Earnings</t>
  </si>
  <si>
    <t>Total Capital</t>
  </si>
  <si>
    <t>Total Liabilities and Capital</t>
  </si>
  <si>
    <t>Stove, Fryer, Tandoor, Fridge, and many similar items</t>
  </si>
  <si>
    <t>Design &amp; Setup (Counter, Display, Branding)</t>
  </si>
  <si>
    <t>POS System &amp; Payment Setup (cash register, card machine)</t>
  </si>
  <si>
    <t>1st stock (Ingredients, packaging, etc.)</t>
  </si>
  <si>
    <t>Marketing &amp; Branding (Menu boards, signage, online ads)</t>
  </si>
  <si>
    <t>Other charges (Uniforms, legal fees, etc.)</t>
  </si>
  <si>
    <t>Total One-Time Cost</t>
  </si>
  <si>
    <t>(Food business license, airport permits)</t>
  </si>
  <si>
    <t>Start up cost and funding</t>
  </si>
  <si>
    <t>Items</t>
  </si>
  <si>
    <t>Funding sources</t>
  </si>
  <si>
    <t>Personal Saving</t>
  </si>
  <si>
    <t>Friends</t>
  </si>
  <si>
    <t>Family</t>
  </si>
  <si>
    <t>Total fund</t>
  </si>
  <si>
    <t>Cost of Sales</t>
  </si>
  <si>
    <t>Electricity</t>
  </si>
  <si>
    <t xml:space="preserve">Month 1 </t>
  </si>
  <si>
    <t>Month 2</t>
  </si>
  <si>
    <t>Month 3</t>
  </si>
  <si>
    <t>Month 4</t>
  </si>
  <si>
    <t>Month 5</t>
  </si>
  <si>
    <t>Month 6</t>
  </si>
  <si>
    <t>Month 7</t>
  </si>
  <si>
    <t>Month 8</t>
  </si>
  <si>
    <t>Month 9</t>
  </si>
  <si>
    <t>Month 10</t>
  </si>
  <si>
    <t>Month 11</t>
  </si>
  <si>
    <t>Month 12</t>
  </si>
  <si>
    <t xml:space="preserve">Indain foods </t>
  </si>
  <si>
    <t xml:space="preserve">Other foods </t>
  </si>
  <si>
    <t>Wages</t>
  </si>
  <si>
    <t>Legal fees</t>
  </si>
  <si>
    <t>Advertising</t>
  </si>
  <si>
    <t>Supplies</t>
  </si>
  <si>
    <t>Operating Expenses</t>
  </si>
  <si>
    <t>Net income befre tax</t>
  </si>
  <si>
    <t>Yearly</t>
  </si>
  <si>
    <t>Refrigerators + Oven</t>
  </si>
  <si>
    <t>Equipments</t>
  </si>
  <si>
    <t>Cost</t>
  </si>
  <si>
    <t>Total Current Liabilities</t>
  </si>
  <si>
    <t>Operations</t>
  </si>
  <si>
    <t>Cash receipts from</t>
  </si>
  <si>
    <t>Customers</t>
  </si>
  <si>
    <t>Other operations</t>
  </si>
  <si>
    <t>Cash paid for</t>
  </si>
  <si>
    <t>Inventory purchases</t>
  </si>
  <si>
    <t>General operating and administrative expenses</t>
  </si>
  <si>
    <t>Income taxes</t>
  </si>
  <si>
    <t>Net Cash Flow from Operations</t>
  </si>
  <si>
    <t>Investing Activities</t>
  </si>
  <si>
    <t>Net Cash Flow from Investing Activities</t>
  </si>
  <si>
    <t>Financing Activities</t>
  </si>
  <si>
    <t>Net Cash Flow from Financing Activities</t>
  </si>
  <si>
    <t>Net Cash Flow</t>
  </si>
  <si>
    <t>Purchase of  equipment</t>
  </si>
  <si>
    <t>Cash Flow Statement</t>
  </si>
  <si>
    <t>Revenue source</t>
  </si>
  <si>
    <t>Take out &amp; Delivery</t>
  </si>
  <si>
    <t>Daily Avg.Customer</t>
  </si>
  <si>
    <t>Days in month</t>
  </si>
  <si>
    <t>Avg.spend per customer</t>
  </si>
  <si>
    <t>Total Revenue</t>
  </si>
  <si>
    <t>Catering Services</t>
  </si>
  <si>
    <t>Total Estimated Revenue</t>
  </si>
  <si>
    <t>Income Statement Year 1</t>
  </si>
  <si>
    <t>Note: This estmation of revenue is one month. I have to estimated revenue every next month is the base on previous month revenue with the add 5% growth in every above months</t>
  </si>
  <si>
    <t>Amount</t>
  </si>
  <si>
    <t>Interest and Taxes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</si>
</sst>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1" formatCode="_(* #,##0_);_(* \(#,##0\);_(* &quot;-&quot;_);_(@_)"/>
    <numFmt numFmtId="44" formatCode="_(&quot;$&quot;* #,##0.00_);_(&quot;$&quot;* \(#,##0.00\);_(&quot;$&quot;* &quot;-&quot;??_);_(@_)"/>
    <numFmt numFmtId="164" formatCode="_(&quot;$&quot;* #,##0_);_(&quot;$&quot;* \(#,##0\);_(&quot;$&quot;* &quot;-&quot;??_);_(@_)"/>
  </numFmts>
  <fonts count="11"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color rgb="FF302C41"/>
      <name val="Times New Roman"/>
      <family val="1"/>
    </font>
    <font>
      <b/>
      <sz val="12"/>
      <color rgb="FF302C41"/>
      <name val="Times New Roman"/>
      <family val="1"/>
    </font>
    <font>
      <b/>
      <sz val="14"/>
      <color theme="1"/>
      <name val="Times New Roman"/>
      <family val="1"/>
    </font>
    <font>
      <b/>
      <sz val="14"/>
      <color theme="1"/>
      <name val="Calibri"/>
      <family val="2"/>
      <scheme val="minor"/>
    </font>
    <font>
      <b/>
      <sz val="14"/>
      <color rgb="FF302C41"/>
      <name val="Times New Roman"/>
      <family val="1"/>
    </font>
    <font>
      <b/>
      <sz val="16"/>
      <color rgb="FF302C41"/>
      <name val="Times New Roman"/>
      <family val="1"/>
    </font>
    <font>
      <b/>
      <sz val="18"/>
      <color theme="1"/>
      <name val="Times New Roman"/>
      <family val="1"/>
    </font>
  </fonts>
  <fills count="6">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26">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bottom style="thin">
        <color indexed="64"/>
      </bottom>
      <diagonal/>
    </border>
    <border>
      <left/>
      <right/>
      <top/>
      <bottom style="thin">
        <color indexed="64"/>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
      <left style="medium">
        <color indexed="64"/>
      </left>
      <right style="medium">
        <color rgb="FFDDDDDD"/>
      </right>
      <top style="medium">
        <color indexed="64"/>
      </top>
      <bottom style="medium">
        <color rgb="FFDDDDDD"/>
      </bottom>
      <diagonal/>
    </border>
    <border>
      <left style="medium">
        <color rgb="FFDDDDDD"/>
      </left>
      <right style="medium">
        <color rgb="FFDDDDDD"/>
      </right>
      <top style="medium">
        <color indexed="64"/>
      </top>
      <bottom style="medium">
        <color rgb="FFDDDDDD"/>
      </bottom>
      <diagonal/>
    </border>
    <border>
      <left style="medium">
        <color rgb="FFDDDDDD"/>
      </left>
      <right style="medium">
        <color indexed="64"/>
      </right>
      <top style="medium">
        <color indexed="64"/>
      </top>
      <bottom style="medium">
        <color rgb="FFDDDDDD"/>
      </bottom>
      <diagonal/>
    </border>
    <border>
      <left style="medium">
        <color indexed="64"/>
      </left>
      <right style="medium">
        <color rgb="FFDDDDDD"/>
      </right>
      <top style="medium">
        <color rgb="FFDDDDDD"/>
      </top>
      <bottom style="medium">
        <color rgb="FFDDDDDD"/>
      </bottom>
      <diagonal/>
    </border>
    <border>
      <left style="medium">
        <color rgb="FFDDDDDD"/>
      </left>
      <right style="medium">
        <color indexed="64"/>
      </right>
      <top style="medium">
        <color rgb="FFDDDDDD"/>
      </top>
      <bottom style="medium">
        <color rgb="FFDDDDDD"/>
      </bottom>
      <diagonal/>
    </border>
    <border>
      <left style="medium">
        <color rgb="FFDDDDDD"/>
      </left>
      <right/>
      <top/>
      <bottom/>
      <diagonal/>
    </border>
    <border>
      <left style="medium">
        <color indexed="64"/>
      </left>
      <right style="medium">
        <color rgb="FFDDDDDD"/>
      </right>
      <top style="medium">
        <color rgb="FFDDDDDD"/>
      </top>
      <bottom/>
      <diagonal/>
    </border>
    <border>
      <left style="medium">
        <color rgb="FFDDDDDD"/>
      </left>
      <right style="medium">
        <color indexed="64"/>
      </right>
      <top style="medium">
        <color rgb="FFDDDDDD"/>
      </top>
      <bottom/>
      <diagonal/>
    </border>
    <border>
      <left style="medium">
        <color indexed="64"/>
      </left>
      <right style="medium">
        <color rgb="FFDDDDDD"/>
      </right>
      <top style="medium">
        <color indexed="64"/>
      </top>
      <bottom style="medium">
        <color indexed="64"/>
      </bottom>
      <diagonal/>
    </border>
    <border>
      <left style="medium">
        <color rgb="FFDDDDDD"/>
      </left>
      <right style="medium">
        <color rgb="FFDDDDDD"/>
      </right>
      <top style="medium">
        <color indexed="64"/>
      </top>
      <bottom style="medium">
        <color indexed="64"/>
      </bottom>
      <diagonal/>
    </border>
    <border>
      <left style="medium">
        <color rgb="FFDDDDDD"/>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3" fillId="0" borderId="0" xfId="0" applyFont="1"/>
    <xf numFmtId="0" fontId="2" fillId="0" borderId="0" xfId="0" applyFont="1"/>
    <xf numFmtId="0" fontId="3" fillId="0" borderId="0" xfId="0" applyFont="1" applyAlignment="1">
      <alignment horizontal="center"/>
    </xf>
    <xf numFmtId="164" fontId="2" fillId="0" borderId="0" xfId="1" applyNumberFormat="1" applyFont="1"/>
    <xf numFmtId="164" fontId="3" fillId="0" borderId="0" xfId="1" applyNumberFormat="1" applyFont="1"/>
    <xf numFmtId="0" fontId="3" fillId="0" borderId="0" xfId="0" applyFont="1" applyAlignment="1">
      <alignment horizontal="left"/>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164" fontId="2" fillId="0" borderId="0" xfId="1" applyNumberFormat="1" applyFont="1" applyAlignment="1"/>
    <xf numFmtId="164" fontId="3" fillId="0" borderId="0" xfId="1" applyNumberFormat="1" applyFont="1" applyAlignment="1"/>
    <xf numFmtId="0" fontId="2" fillId="0" borderId="0" xfId="0" applyFont="1" applyAlignment="1">
      <alignment horizontal="left"/>
    </xf>
    <xf numFmtId="164" fontId="3" fillId="0" borderId="0" xfId="0" applyNumberFormat="1" applyFont="1"/>
    <xf numFmtId="0" fontId="5" fillId="2" borderId="1" xfId="0" applyFont="1" applyFill="1" applyBorder="1" applyAlignment="1">
      <alignment horizontal="center" vertical="center"/>
    </xf>
    <xf numFmtId="164" fontId="2" fillId="0" borderId="2" xfId="0" applyNumberFormat="1" applyFont="1" applyBorder="1"/>
    <xf numFmtId="164" fontId="2" fillId="0" borderId="3" xfId="0" applyNumberFormat="1" applyFont="1" applyBorder="1"/>
    <xf numFmtId="0" fontId="3" fillId="0" borderId="2" xfId="0" applyFont="1" applyBorder="1"/>
    <xf numFmtId="164" fontId="3" fillId="0" borderId="3" xfId="1" applyNumberFormat="1" applyFont="1" applyBorder="1"/>
    <xf numFmtId="164" fontId="2" fillId="0" borderId="2" xfId="1" applyNumberFormat="1" applyFont="1" applyBorder="1"/>
    <xf numFmtId="0" fontId="6" fillId="0" borderId="0" xfId="0" applyFont="1"/>
    <xf numFmtId="0" fontId="6" fillId="0" borderId="0" xfId="0" applyFont="1" applyAlignment="1">
      <alignment horizontal="center"/>
    </xf>
    <xf numFmtId="0" fontId="7" fillId="0" borderId="0" xfId="0" applyFont="1"/>
    <xf numFmtId="6" fontId="0" fillId="0" borderId="0" xfId="0" applyNumberFormat="1"/>
    <xf numFmtId="0" fontId="0" fillId="0" borderId="0" xfId="0" applyAlignment="1">
      <alignment horizontal="right"/>
    </xf>
    <xf numFmtId="0" fontId="4" fillId="2" borderId="1" xfId="0" applyFont="1" applyFill="1" applyBorder="1" applyAlignment="1">
      <alignment horizontal="right" vertical="center" wrapText="1"/>
    </xf>
    <xf numFmtId="6" fontId="4" fillId="2" borderId="1" xfId="0" applyNumberFormat="1" applyFont="1" applyFill="1" applyBorder="1" applyAlignment="1">
      <alignment horizontal="right" vertical="center" wrapText="1"/>
    </xf>
    <xf numFmtId="6" fontId="5" fillId="2" borderId="1" xfId="0" applyNumberFormat="1" applyFont="1" applyFill="1" applyBorder="1" applyAlignment="1">
      <alignment horizontal="right" vertical="center" wrapText="1"/>
    </xf>
    <xf numFmtId="0" fontId="4" fillId="2" borderId="5" xfId="0" applyFont="1" applyFill="1" applyBorder="1" applyAlignment="1">
      <alignment vertical="center" wrapText="1"/>
    </xf>
    <xf numFmtId="0" fontId="4" fillId="2" borderId="5" xfId="0" applyFont="1" applyFill="1" applyBorder="1" applyAlignment="1">
      <alignment horizontal="right" vertical="center" wrapText="1"/>
    </xf>
    <xf numFmtId="0" fontId="5" fillId="2" borderId="9" xfId="0" applyFont="1" applyFill="1" applyBorder="1" applyAlignment="1">
      <alignment vertical="center" wrapText="1"/>
    </xf>
    <xf numFmtId="0" fontId="4" fillId="2" borderId="10" xfId="0" applyFont="1" applyFill="1" applyBorder="1" applyAlignment="1">
      <alignment horizontal="right" vertical="center" wrapText="1"/>
    </xf>
    <xf numFmtId="0" fontId="4" fillId="2" borderId="9" xfId="0" applyFont="1" applyFill="1" applyBorder="1" applyAlignment="1">
      <alignment vertical="center" wrapText="1"/>
    </xf>
    <xf numFmtId="6" fontId="4" fillId="2" borderId="10" xfId="0" applyNumberFormat="1" applyFont="1" applyFill="1" applyBorder="1" applyAlignment="1">
      <alignment horizontal="right" vertical="center" wrapText="1"/>
    </xf>
    <xf numFmtId="6" fontId="5" fillId="2" borderId="10" xfId="0" applyNumberFormat="1" applyFont="1" applyFill="1" applyBorder="1" applyAlignment="1">
      <alignment horizontal="righ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6" fontId="2" fillId="2" borderId="10" xfId="0" applyNumberFormat="1" applyFont="1" applyFill="1" applyBorder="1" applyAlignment="1">
      <alignment horizontal="right" vertical="center" wrapText="1"/>
    </xf>
    <xf numFmtId="0" fontId="4" fillId="2" borderId="12" xfId="0" applyFont="1" applyFill="1" applyBorder="1" applyAlignment="1">
      <alignment vertical="center" wrapText="1"/>
    </xf>
    <xf numFmtId="6" fontId="4" fillId="2" borderId="4" xfId="0" applyNumberFormat="1" applyFont="1" applyFill="1" applyBorder="1" applyAlignment="1">
      <alignment horizontal="right" vertical="center" wrapText="1"/>
    </xf>
    <xf numFmtId="6" fontId="4" fillId="2" borderId="13" xfId="0" applyNumberFormat="1" applyFont="1" applyFill="1" applyBorder="1" applyAlignment="1">
      <alignment horizontal="right" vertical="center" wrapText="1"/>
    </xf>
    <xf numFmtId="0" fontId="8" fillId="2" borderId="14" xfId="0" applyFont="1" applyFill="1" applyBorder="1" applyAlignment="1">
      <alignment vertical="center" wrapText="1"/>
    </xf>
    <xf numFmtId="6" fontId="8" fillId="2" borderId="15" xfId="0" applyNumberFormat="1" applyFont="1" applyFill="1" applyBorder="1" applyAlignment="1">
      <alignment horizontal="right" vertical="center" wrapText="1"/>
    </xf>
    <xf numFmtId="6" fontId="8" fillId="2" borderId="16" xfId="0" applyNumberFormat="1" applyFont="1" applyFill="1" applyBorder="1" applyAlignment="1">
      <alignment horizontal="right" vertical="center" wrapText="1"/>
    </xf>
    <xf numFmtId="0" fontId="3" fillId="5" borderId="17" xfId="0" applyFont="1" applyFill="1" applyBorder="1" applyAlignment="1">
      <alignment horizontal="left" vertical="center"/>
    </xf>
    <xf numFmtId="0" fontId="3" fillId="5" borderId="17" xfId="0" applyFont="1" applyFill="1" applyBorder="1" applyAlignment="1">
      <alignment vertical="center"/>
    </xf>
    <xf numFmtId="0" fontId="0" fillId="5" borderId="0" xfId="0" applyFont="1" applyFill="1"/>
    <xf numFmtId="41" fontId="2" fillId="0" borderId="17" xfId="1" applyNumberFormat="1" applyFont="1" applyBorder="1" applyAlignment="1">
      <alignment vertical="center"/>
    </xf>
    <xf numFmtId="0" fontId="2" fillId="3" borderId="17" xfId="0" applyFont="1" applyFill="1" applyBorder="1" applyAlignment="1">
      <alignment horizontal="left" vertical="center"/>
    </xf>
    <xf numFmtId="0" fontId="2" fillId="0" borderId="17" xfId="0" applyFont="1" applyBorder="1" applyAlignment="1">
      <alignment horizontal="left" vertical="center"/>
    </xf>
    <xf numFmtId="0" fontId="2" fillId="0" borderId="17" xfId="0" applyFont="1" applyBorder="1" applyAlignment="1">
      <alignment vertical="center"/>
    </xf>
    <xf numFmtId="0" fontId="2" fillId="3" borderId="17" xfId="0" applyFont="1" applyFill="1" applyBorder="1" applyAlignment="1" applyProtection="1">
      <alignment horizontal="left" vertical="center"/>
      <protection locked="0"/>
    </xf>
    <xf numFmtId="0" fontId="2" fillId="0" borderId="17" xfId="0" applyFont="1" applyBorder="1" applyAlignment="1">
      <alignment horizontal="right" vertical="center"/>
    </xf>
    <xf numFmtId="0" fontId="2" fillId="3" borderId="17" xfId="0" applyFont="1" applyFill="1" applyBorder="1" applyAlignment="1" applyProtection="1">
      <alignment horizontal="left" vertical="center"/>
      <protection locked="0"/>
    </xf>
    <xf numFmtId="0" fontId="2" fillId="0" borderId="17" xfId="0" applyFont="1" applyBorder="1" applyAlignment="1">
      <alignment horizontal="left" vertical="center"/>
    </xf>
    <xf numFmtId="0" fontId="3" fillId="0" borderId="0" xfId="0" applyFont="1" applyAlignment="1">
      <alignment horizontal="center" vertical="center" wrapText="1"/>
    </xf>
    <xf numFmtId="0" fontId="3" fillId="0" borderId="19" xfId="0" applyFont="1" applyBorder="1" applyAlignment="1">
      <alignment horizontal="center" vertical="center" wrapText="1"/>
    </xf>
    <xf numFmtId="0" fontId="2" fillId="0" borderId="0" xfId="0" applyFont="1" applyBorder="1"/>
    <xf numFmtId="0" fontId="2" fillId="0" borderId="21" xfId="0" applyFont="1" applyBorder="1" applyAlignment="1">
      <alignment horizontal="left"/>
    </xf>
    <xf numFmtId="0" fontId="2" fillId="0" borderId="0" xfId="0" applyFont="1" applyBorder="1" applyAlignment="1">
      <alignment horizontal="left"/>
    </xf>
    <xf numFmtId="164" fontId="2" fillId="0" borderId="17" xfId="1" applyNumberFormat="1" applyFont="1" applyBorder="1"/>
    <xf numFmtId="164" fontId="2" fillId="0" borderId="17" xfId="1" applyNumberFormat="1" applyFont="1" applyBorder="1" applyAlignment="1" applyProtection="1">
      <alignment vertical="center"/>
      <protection locked="0"/>
    </xf>
    <xf numFmtId="164" fontId="2" fillId="0" borderId="17" xfId="1" applyNumberFormat="1" applyFont="1" applyBorder="1" applyAlignment="1">
      <alignment vertical="center"/>
    </xf>
    <xf numFmtId="164" fontId="2" fillId="2" borderId="17" xfId="1" applyNumberFormat="1" applyFont="1" applyFill="1" applyBorder="1" applyAlignment="1">
      <alignment horizontal="right" vertical="center" wrapText="1"/>
    </xf>
    <xf numFmtId="164" fontId="2" fillId="3" borderId="17" xfId="1" applyNumberFormat="1" applyFont="1" applyFill="1" applyBorder="1" applyAlignment="1">
      <alignment vertical="center"/>
    </xf>
    <xf numFmtId="164" fontId="3" fillId="5" borderId="17" xfId="1" applyNumberFormat="1" applyFont="1" applyFill="1" applyBorder="1" applyAlignment="1">
      <alignment vertical="center"/>
    </xf>
    <xf numFmtId="164" fontId="3" fillId="4" borderId="17" xfId="1" applyNumberFormat="1" applyFont="1" applyFill="1" applyBorder="1" applyAlignment="1">
      <alignment vertical="center"/>
    </xf>
    <xf numFmtId="0" fontId="2" fillId="0" borderId="0" xfId="0" applyFont="1" applyAlignment="1">
      <alignment horizontal="left"/>
    </xf>
    <xf numFmtId="0" fontId="6"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center"/>
    </xf>
    <xf numFmtId="0" fontId="2" fillId="0" borderId="0" xfId="0" applyFont="1" applyAlignment="1">
      <alignment horizontal="left" wrapText="1"/>
    </xf>
    <xf numFmtId="0" fontId="2" fillId="0" borderId="24" xfId="0" applyFont="1" applyBorder="1" applyAlignment="1">
      <alignment horizontal="center"/>
    </xf>
    <xf numFmtId="0" fontId="3" fillId="0" borderId="21" xfId="0" applyFont="1" applyBorder="1" applyAlignment="1">
      <alignment horizontal="left"/>
    </xf>
    <xf numFmtId="0" fontId="3" fillId="0" borderId="0" xfId="0" applyFont="1" applyBorder="1" applyAlignment="1">
      <alignment horizontal="left"/>
    </xf>
    <xf numFmtId="0" fontId="2" fillId="0" borderId="0" xfId="0" applyFont="1" applyBorder="1" applyAlignment="1">
      <alignment horizontal="center"/>
    </xf>
    <xf numFmtId="0" fontId="2" fillId="0" borderId="2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10" fillId="0" borderId="0" xfId="0" applyFont="1" applyAlignment="1">
      <alignment horizont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xf>
    <xf numFmtId="0" fontId="2" fillId="0" borderId="0" xfId="0" applyFont="1" applyAlignment="1">
      <alignment horizontal="center"/>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2" fillId="4" borderId="17" xfId="0" applyFont="1" applyFill="1" applyBorder="1" applyAlignment="1" applyProtection="1">
      <alignment horizontal="left" vertical="center"/>
      <protection locked="0"/>
    </xf>
    <xf numFmtId="0" fontId="2" fillId="3" borderId="17" xfId="0" applyFont="1" applyFill="1" applyBorder="1" applyAlignment="1" applyProtection="1">
      <alignment horizontal="left" vertical="center"/>
      <protection locked="0"/>
    </xf>
    <xf numFmtId="0" fontId="6" fillId="0" borderId="17" xfId="0" applyFont="1" applyBorder="1" applyAlignment="1">
      <alignment horizontal="center"/>
    </xf>
    <xf numFmtId="0" fontId="2" fillId="0" borderId="17" xfId="0" applyFont="1" applyBorder="1" applyAlignment="1" applyProtection="1">
      <alignment horizontal="left" vertical="center"/>
      <protection locked="0"/>
    </xf>
    <xf numFmtId="0" fontId="2" fillId="0" borderId="17" xfId="0" applyFont="1" applyBorder="1" applyAlignment="1">
      <alignment horizontal="left" vertical="center"/>
    </xf>
    <xf numFmtId="0" fontId="9" fillId="2" borderId="11" xfId="0" applyFont="1" applyFill="1" applyBorder="1" applyAlignment="1">
      <alignment horizontal="center" vertical="center" wrapText="1"/>
    </xf>
    <xf numFmtId="0" fontId="9" fillId="2" borderId="0"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17"/>
  <sheetViews>
    <sheetView workbookViewId="0">
      <selection activeCell="D15" sqref="D15"/>
    </sheetView>
  </sheetViews>
  <sheetFormatPr defaultRowHeight="15" x14ac:dyDescent="0.25"/>
  <cols>
    <col min="4" max="4" width="22.7109375" customWidth="1"/>
    <col min="5" max="5" width="13" customWidth="1"/>
  </cols>
  <sheetData>
    <row r="1" spans="2:5" ht="18.75" x14ac:dyDescent="0.3">
      <c r="B1" s="68" t="s">
        <v>39</v>
      </c>
      <c r="C1" s="68"/>
      <c r="D1" s="68"/>
      <c r="E1" s="68"/>
    </row>
    <row r="2" spans="2:5" ht="15.75" x14ac:dyDescent="0.25">
      <c r="B2" s="70" t="s">
        <v>40</v>
      </c>
      <c r="C2" s="70"/>
      <c r="D2" s="70"/>
      <c r="E2" s="1" t="s">
        <v>71</v>
      </c>
    </row>
    <row r="3" spans="2:5" ht="15.75" x14ac:dyDescent="0.25">
      <c r="B3" s="67" t="s">
        <v>69</v>
      </c>
      <c r="C3" s="67"/>
      <c r="D3" s="67"/>
      <c r="E3" s="4">
        <v>2500</v>
      </c>
    </row>
    <row r="4" spans="2:5" ht="15.75" x14ac:dyDescent="0.25">
      <c r="B4" s="67" t="s">
        <v>70</v>
      </c>
      <c r="C4" s="67"/>
      <c r="D4" s="67"/>
      <c r="E4" s="4">
        <v>5000</v>
      </c>
    </row>
    <row r="5" spans="2:5" ht="15.75" x14ac:dyDescent="0.25">
      <c r="B5" s="71" t="s">
        <v>31</v>
      </c>
      <c r="C5" s="71"/>
      <c r="D5" s="71"/>
      <c r="E5" s="4">
        <v>7000</v>
      </c>
    </row>
    <row r="6" spans="2:5" ht="15.75" x14ac:dyDescent="0.25">
      <c r="B6" s="71" t="s">
        <v>32</v>
      </c>
      <c r="C6" s="71"/>
      <c r="D6" s="71"/>
      <c r="E6" s="4">
        <v>2000</v>
      </c>
    </row>
    <row r="7" spans="2:5" ht="15.75" x14ac:dyDescent="0.25">
      <c r="B7" s="71" t="s">
        <v>38</v>
      </c>
      <c r="C7" s="71"/>
      <c r="D7" s="71"/>
      <c r="E7" s="4">
        <v>1500</v>
      </c>
    </row>
    <row r="8" spans="2:5" ht="15.75" x14ac:dyDescent="0.25">
      <c r="B8" s="71" t="s">
        <v>33</v>
      </c>
      <c r="C8" s="71"/>
      <c r="D8" s="71"/>
      <c r="E8" s="4">
        <v>1000</v>
      </c>
    </row>
    <row r="9" spans="2:5" ht="15.75" x14ac:dyDescent="0.25">
      <c r="B9" s="71" t="s">
        <v>34</v>
      </c>
      <c r="C9" s="71"/>
      <c r="D9" s="71"/>
      <c r="E9" s="4">
        <v>3000</v>
      </c>
    </row>
    <row r="10" spans="2:5" ht="15.75" x14ac:dyDescent="0.25">
      <c r="B10" s="71" t="s">
        <v>35</v>
      </c>
      <c r="C10" s="71"/>
      <c r="D10" s="71"/>
      <c r="E10" s="4">
        <v>1000</v>
      </c>
    </row>
    <row r="11" spans="2:5" ht="15.75" x14ac:dyDescent="0.25">
      <c r="B11" s="71" t="s">
        <v>36</v>
      </c>
      <c r="C11" s="71"/>
      <c r="D11" s="71"/>
      <c r="E11" s="4">
        <v>2000</v>
      </c>
    </row>
    <row r="12" spans="2:5" ht="15.75" x14ac:dyDescent="0.25">
      <c r="B12" s="69" t="s">
        <v>37</v>
      </c>
      <c r="C12" s="69"/>
      <c r="D12" s="69"/>
      <c r="E12" s="5">
        <f>SUM(E3:E11)</f>
        <v>25000</v>
      </c>
    </row>
    <row r="13" spans="2:5" ht="15.75" x14ac:dyDescent="0.25">
      <c r="B13" s="70" t="s">
        <v>41</v>
      </c>
      <c r="C13" s="70"/>
      <c r="D13" s="70"/>
      <c r="E13" s="70"/>
    </row>
    <row r="14" spans="2:5" ht="15.75" x14ac:dyDescent="0.25">
      <c r="B14" s="67" t="s">
        <v>42</v>
      </c>
      <c r="C14" s="67"/>
      <c r="D14" s="9">
        <v>5000</v>
      </c>
      <c r="E14" s="3"/>
    </row>
    <row r="15" spans="2:5" ht="15.75" x14ac:dyDescent="0.25">
      <c r="B15" s="67" t="s">
        <v>43</v>
      </c>
      <c r="C15" s="67"/>
      <c r="D15" s="9">
        <v>10000</v>
      </c>
      <c r="E15" s="3"/>
    </row>
    <row r="16" spans="2:5" ht="15.75" x14ac:dyDescent="0.25">
      <c r="B16" s="67" t="s">
        <v>44</v>
      </c>
      <c r="C16" s="67"/>
      <c r="D16" s="9">
        <v>10000</v>
      </c>
      <c r="E16" s="3"/>
    </row>
    <row r="17" spans="2:5" ht="15.75" x14ac:dyDescent="0.25">
      <c r="B17" s="6" t="s">
        <v>45</v>
      </c>
      <c r="C17" s="6"/>
      <c r="D17" s="10">
        <f>SUM(D14:D16)</f>
        <v>25000</v>
      </c>
      <c r="E17" s="3"/>
    </row>
  </sheetData>
  <mergeCells count="16">
    <mergeCell ref="B15:C15"/>
    <mergeCell ref="B16:C16"/>
    <mergeCell ref="B3:D3"/>
    <mergeCell ref="B1:E1"/>
    <mergeCell ref="B12:D12"/>
    <mergeCell ref="B2:D2"/>
    <mergeCell ref="B13:E13"/>
    <mergeCell ref="B8:D8"/>
    <mergeCell ref="B9:D9"/>
    <mergeCell ref="B14:C14"/>
    <mergeCell ref="B4:D4"/>
    <mergeCell ref="B5:D5"/>
    <mergeCell ref="B6:D6"/>
    <mergeCell ref="B7:D7"/>
    <mergeCell ref="B10:D10"/>
    <mergeCell ref="B11:D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1"/>
  <sheetViews>
    <sheetView tabSelected="1" workbookViewId="0">
      <selection activeCell="H7" sqref="H7"/>
    </sheetView>
  </sheetViews>
  <sheetFormatPr defaultRowHeight="15" x14ac:dyDescent="0.25"/>
  <cols>
    <col min="2" max="2" width="35.140625" customWidth="1"/>
    <col min="3" max="3" width="14.85546875" customWidth="1"/>
  </cols>
  <sheetData>
    <row r="1" spans="1:3" ht="18.75" x14ac:dyDescent="0.3">
      <c r="A1" s="94" t="s">
        <v>88</v>
      </c>
      <c r="B1" s="94"/>
      <c r="C1" s="94"/>
    </row>
    <row r="2" spans="1:3" ht="15.75" x14ac:dyDescent="0.25">
      <c r="A2" s="44" t="s">
        <v>73</v>
      </c>
      <c r="B2" s="44"/>
      <c r="C2" s="45" t="s">
        <v>99</v>
      </c>
    </row>
    <row r="3" spans="1:3" ht="15.75" x14ac:dyDescent="0.25">
      <c r="A3" s="95" t="s">
        <v>74</v>
      </c>
      <c r="B3" s="95"/>
      <c r="C3" s="47"/>
    </row>
    <row r="4" spans="1:3" ht="15.75" x14ac:dyDescent="0.25">
      <c r="A4" s="96" t="s">
        <v>75</v>
      </c>
      <c r="B4" s="96"/>
      <c r="C4" s="63">
        <f>SUM('Income Statment Year 3'!N13)</f>
        <v>95502.759122655509</v>
      </c>
    </row>
    <row r="5" spans="1:3" ht="15.75" x14ac:dyDescent="0.25">
      <c r="A5" s="96" t="s">
        <v>76</v>
      </c>
      <c r="B5" s="96"/>
      <c r="C5" s="61"/>
    </row>
    <row r="6" spans="1:3" ht="15.75" x14ac:dyDescent="0.25">
      <c r="A6" s="95" t="s">
        <v>77</v>
      </c>
      <c r="B6" s="95"/>
      <c r="C6" s="62"/>
    </row>
    <row r="7" spans="1:3" ht="15.75" x14ac:dyDescent="0.25">
      <c r="A7" s="95" t="s">
        <v>78</v>
      </c>
      <c r="B7" s="95"/>
      <c r="C7" s="63">
        <f>SUM(-'Balance sheet Year 3'!C8)</f>
        <v>-16500</v>
      </c>
    </row>
    <row r="8" spans="1:3" ht="15.75" x14ac:dyDescent="0.25">
      <c r="A8" s="95" t="s">
        <v>79</v>
      </c>
      <c r="B8" s="95"/>
      <c r="C8" s="61">
        <f>SUM(-'Income Statment Year 3'!N26)</f>
        <v>-24767.048865808662</v>
      </c>
    </row>
    <row r="9" spans="1:3" ht="15.75" x14ac:dyDescent="0.25">
      <c r="A9" s="95" t="s">
        <v>80</v>
      </c>
      <c r="B9" s="95"/>
      <c r="C9" s="61">
        <f>SUM(-'Income Statment Year 3'!N29)</f>
        <v>-9416.5720494938341</v>
      </c>
    </row>
    <row r="10" spans="1:3" ht="15.75" x14ac:dyDescent="0.25">
      <c r="A10" s="48" t="s">
        <v>81</v>
      </c>
      <c r="B10" s="48"/>
      <c r="C10" s="64">
        <f>SUM(C4:C9)</f>
        <v>44819.138207353011</v>
      </c>
    </row>
    <row r="11" spans="1:3" ht="15.75" x14ac:dyDescent="0.25">
      <c r="A11" s="54"/>
      <c r="B11" s="54"/>
      <c r="C11" s="62"/>
    </row>
    <row r="12" spans="1:3" ht="15.75" x14ac:dyDescent="0.25">
      <c r="A12" s="44" t="s">
        <v>82</v>
      </c>
      <c r="B12" s="44"/>
      <c r="C12" s="65"/>
    </row>
    <row r="13" spans="1:3" ht="15.75" x14ac:dyDescent="0.25">
      <c r="A13" s="95" t="s">
        <v>77</v>
      </c>
      <c r="B13" s="95"/>
      <c r="C13" s="62"/>
    </row>
    <row r="14" spans="1:3" ht="15.75" x14ac:dyDescent="0.25">
      <c r="A14" s="95" t="s">
        <v>87</v>
      </c>
      <c r="B14" s="95"/>
      <c r="C14" s="63">
        <f>SUM(-'Balance sheet Year 3'!C13)</f>
        <v>-12000</v>
      </c>
    </row>
    <row r="15" spans="1:3" ht="15.75" x14ac:dyDescent="0.25">
      <c r="A15" s="53" t="s">
        <v>83</v>
      </c>
      <c r="B15" s="53"/>
      <c r="C15" s="64">
        <f>SUM(C13:C14)</f>
        <v>-12000</v>
      </c>
    </row>
    <row r="16" spans="1:3" ht="15.75" x14ac:dyDescent="0.25">
      <c r="A16" s="52"/>
      <c r="B16" s="50"/>
      <c r="C16" s="62"/>
    </row>
    <row r="17" spans="1:3" ht="15.75" x14ac:dyDescent="0.25">
      <c r="A17" s="45" t="s">
        <v>84</v>
      </c>
      <c r="B17" s="45"/>
      <c r="C17" s="65"/>
    </row>
    <row r="18" spans="1:3" ht="15.75" x14ac:dyDescent="0.25">
      <c r="A18" s="95" t="s">
        <v>74</v>
      </c>
      <c r="B18" s="95"/>
      <c r="C18" s="62"/>
    </row>
    <row r="19" spans="1:3" ht="15.75" x14ac:dyDescent="0.25">
      <c r="A19" s="93" t="s">
        <v>85</v>
      </c>
      <c r="B19" s="93"/>
      <c r="C19" s="64">
        <v>0</v>
      </c>
    </row>
    <row r="20" spans="1:3" ht="15.75" x14ac:dyDescent="0.25">
      <c r="A20" s="54"/>
      <c r="B20" s="54"/>
      <c r="C20" s="62"/>
    </row>
    <row r="21" spans="1:3" ht="15.75" x14ac:dyDescent="0.25">
      <c r="A21" s="92" t="s">
        <v>86</v>
      </c>
      <c r="B21" s="92"/>
      <c r="C21" s="66">
        <f>C10+C15+C19</f>
        <v>32819.138207353011</v>
      </c>
    </row>
  </sheetData>
  <mergeCells count="13">
    <mergeCell ref="A21:B21"/>
    <mergeCell ref="A8:B8"/>
    <mergeCell ref="A9:B9"/>
    <mergeCell ref="A13:B13"/>
    <mergeCell ref="A14:B14"/>
    <mergeCell ref="A18:B18"/>
    <mergeCell ref="A19:B19"/>
    <mergeCell ref="A7:B7"/>
    <mergeCell ref="A1:C1"/>
    <mergeCell ref="A3:B3"/>
    <mergeCell ref="A4:B4"/>
    <mergeCell ref="A5:B5"/>
    <mergeCell ref="A6:B6"/>
  </mergeCells>
  <pageMargins left="0.7" right="0.7" top="0.75" bottom="0.75" header="0.3" footer="0.3"/>
  <pageSetup orientation="portrait" r:id="rId1"/>
  <ignoredErrors>
    <ignoredError sqref="C8:C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4"/>
  <sheetViews>
    <sheetView topLeftCell="A13" zoomScale="96" zoomScaleNormal="96" workbookViewId="0">
      <selection activeCell="G32" sqref="G32"/>
    </sheetView>
  </sheetViews>
  <sheetFormatPr defaultRowHeight="15.75" x14ac:dyDescent="0.25"/>
  <cols>
    <col min="1" max="1" width="20.5703125" style="2" customWidth="1"/>
    <col min="2" max="2" width="12.28515625" style="2" bestFit="1" customWidth="1"/>
    <col min="3" max="10" width="11.5703125" style="2" bestFit="1" customWidth="1"/>
    <col min="11" max="13" width="12.7109375" style="2" customWidth="1"/>
    <col min="14" max="14" width="13" style="2" customWidth="1"/>
    <col min="15" max="16384" width="9.140625" style="2"/>
  </cols>
  <sheetData>
    <row r="1" spans="1:14" ht="16.5" thickBot="1" x14ac:dyDescent="0.3">
      <c r="C1" s="72"/>
      <c r="D1" s="72"/>
      <c r="E1" s="72"/>
      <c r="F1" s="72"/>
      <c r="G1" s="72"/>
      <c r="H1" s="72"/>
      <c r="I1" s="72"/>
      <c r="J1" s="72"/>
    </row>
    <row r="2" spans="1:14" ht="47.25" x14ac:dyDescent="0.25">
      <c r="C2" s="81" t="s">
        <v>89</v>
      </c>
      <c r="D2" s="82"/>
      <c r="E2" s="83" t="s">
        <v>91</v>
      </c>
      <c r="F2" s="83"/>
      <c r="G2" s="56" t="s">
        <v>92</v>
      </c>
      <c r="H2" s="56" t="s">
        <v>93</v>
      </c>
      <c r="I2" s="83" t="s">
        <v>94</v>
      </c>
      <c r="J2" s="84"/>
      <c r="K2" s="69" t="s">
        <v>98</v>
      </c>
      <c r="L2" s="69"/>
      <c r="M2" s="69"/>
    </row>
    <row r="3" spans="1:14" x14ac:dyDescent="0.25">
      <c r="C3" s="73" t="s">
        <v>0</v>
      </c>
      <c r="D3" s="74"/>
      <c r="E3" s="57">
        <v>15</v>
      </c>
      <c r="F3" s="57"/>
      <c r="G3" s="57">
        <v>24</v>
      </c>
      <c r="H3" s="57">
        <v>5</v>
      </c>
      <c r="I3" s="75">
        <f>E3*H3*G3</f>
        <v>1800</v>
      </c>
      <c r="J3" s="76"/>
      <c r="K3" s="69"/>
      <c r="L3" s="69"/>
      <c r="M3" s="69"/>
    </row>
    <row r="4" spans="1:14" x14ac:dyDescent="0.25">
      <c r="C4" s="73" t="s">
        <v>90</v>
      </c>
      <c r="D4" s="74"/>
      <c r="E4" s="57">
        <v>5</v>
      </c>
      <c r="F4" s="57"/>
      <c r="G4" s="57">
        <v>24</v>
      </c>
      <c r="H4" s="57">
        <v>10</v>
      </c>
      <c r="I4" s="75">
        <f>E4*H4*G4</f>
        <v>1200</v>
      </c>
      <c r="J4" s="76"/>
      <c r="K4" s="69"/>
      <c r="L4" s="69"/>
      <c r="M4" s="69"/>
    </row>
    <row r="5" spans="1:14" x14ac:dyDescent="0.25">
      <c r="C5" s="73" t="s">
        <v>95</v>
      </c>
      <c r="D5" s="74"/>
      <c r="E5" s="57">
        <v>2</v>
      </c>
      <c r="F5" s="57"/>
      <c r="G5" s="57"/>
      <c r="H5" s="57">
        <v>750</v>
      </c>
      <c r="I5" s="75">
        <f>E5*H5</f>
        <v>1500</v>
      </c>
      <c r="J5" s="76"/>
    </row>
    <row r="6" spans="1:14" x14ac:dyDescent="0.25">
      <c r="C6" s="58"/>
      <c r="D6" s="59"/>
      <c r="E6" s="57"/>
      <c r="F6" s="57"/>
      <c r="G6" s="57"/>
      <c r="H6" s="57"/>
      <c r="I6" s="75"/>
      <c r="J6" s="76"/>
    </row>
    <row r="7" spans="1:14" ht="16.5" thickBot="1" x14ac:dyDescent="0.3">
      <c r="C7" s="77" t="s">
        <v>96</v>
      </c>
      <c r="D7" s="78"/>
      <c r="E7" s="78"/>
      <c r="F7" s="78"/>
      <c r="G7" s="78"/>
      <c r="H7" s="78"/>
      <c r="I7" s="78">
        <f>SUM(I3:J5)</f>
        <v>4500</v>
      </c>
      <c r="J7" s="79"/>
    </row>
    <row r="9" spans="1:14" ht="22.5" x14ac:dyDescent="0.3">
      <c r="B9" s="80" t="s">
        <v>97</v>
      </c>
      <c r="C9" s="80"/>
      <c r="D9" s="80"/>
      <c r="E9" s="80"/>
      <c r="F9" s="80"/>
      <c r="G9" s="80"/>
      <c r="H9" s="80"/>
      <c r="I9" s="80"/>
      <c r="J9" s="80"/>
      <c r="K9" s="80"/>
      <c r="L9" s="80"/>
      <c r="M9" s="80"/>
      <c r="N9" s="80"/>
    </row>
    <row r="10" spans="1:14" ht="19.5" thickBot="1" x14ac:dyDescent="0.35">
      <c r="B10" s="19" t="s">
        <v>48</v>
      </c>
      <c r="C10" s="19" t="s">
        <v>49</v>
      </c>
      <c r="D10" s="19" t="s">
        <v>50</v>
      </c>
      <c r="E10" s="19" t="s">
        <v>51</v>
      </c>
      <c r="F10" s="19" t="s">
        <v>52</v>
      </c>
      <c r="G10" s="19" t="s">
        <v>53</v>
      </c>
      <c r="H10" s="19" t="s">
        <v>54</v>
      </c>
      <c r="I10" s="19" t="s">
        <v>55</v>
      </c>
      <c r="J10" s="19" t="s">
        <v>56</v>
      </c>
      <c r="K10" s="19" t="s">
        <v>57</v>
      </c>
      <c r="L10" s="19" t="s">
        <v>58</v>
      </c>
      <c r="M10" s="19" t="s">
        <v>59</v>
      </c>
      <c r="N10" s="19" t="s">
        <v>68</v>
      </c>
    </row>
    <row r="11" spans="1:14" ht="16.5" thickBot="1" x14ac:dyDescent="0.3">
      <c r="A11" s="8" t="s">
        <v>0</v>
      </c>
      <c r="N11" s="1"/>
    </row>
    <row r="12" spans="1:14" ht="16.5" thickBot="1" x14ac:dyDescent="0.3">
      <c r="A12" s="7" t="s">
        <v>60</v>
      </c>
      <c r="B12" s="4">
        <f>SUM(I3:J5)</f>
        <v>4500</v>
      </c>
      <c r="C12" s="4">
        <f>B12*5%+B12</f>
        <v>4725</v>
      </c>
      <c r="D12" s="4">
        <f t="shared" ref="D12:M12" si="0">C12*5%+C12</f>
        <v>4961.25</v>
      </c>
      <c r="E12" s="4">
        <f t="shared" si="0"/>
        <v>5209.3125</v>
      </c>
      <c r="F12" s="4">
        <f t="shared" si="0"/>
        <v>5469.7781249999998</v>
      </c>
      <c r="G12" s="4">
        <f t="shared" si="0"/>
        <v>5743.2670312499995</v>
      </c>
      <c r="H12" s="4">
        <f t="shared" si="0"/>
        <v>6030.4303828124994</v>
      </c>
      <c r="I12" s="4">
        <f t="shared" si="0"/>
        <v>6331.9519019531244</v>
      </c>
      <c r="J12" s="4">
        <f t="shared" si="0"/>
        <v>6648.5494970507807</v>
      </c>
      <c r="K12" s="4">
        <f t="shared" si="0"/>
        <v>6980.9769719033193</v>
      </c>
      <c r="L12" s="4">
        <f t="shared" si="0"/>
        <v>7330.0258204984857</v>
      </c>
      <c r="M12" s="4">
        <f t="shared" si="0"/>
        <v>7696.52711152341</v>
      </c>
      <c r="N12" s="5">
        <f>SUM(B12:M12)</f>
        <v>71627.069341991621</v>
      </c>
    </row>
    <row r="13" spans="1:14" ht="16.5" thickBot="1" x14ac:dyDescent="0.3">
      <c r="A13" s="7" t="s">
        <v>61</v>
      </c>
      <c r="B13" s="4">
        <v>1500</v>
      </c>
      <c r="C13" s="4">
        <f>B13*5%+B13</f>
        <v>1575</v>
      </c>
      <c r="D13" s="4">
        <f t="shared" ref="D13:M13" si="1">C13*5%+C13</f>
        <v>1653.75</v>
      </c>
      <c r="E13" s="4">
        <f t="shared" si="1"/>
        <v>1736.4375</v>
      </c>
      <c r="F13" s="4">
        <f t="shared" si="1"/>
        <v>1823.2593750000001</v>
      </c>
      <c r="G13" s="4">
        <f t="shared" si="1"/>
        <v>1914.42234375</v>
      </c>
      <c r="H13" s="4">
        <f t="shared" si="1"/>
        <v>2010.1434609375001</v>
      </c>
      <c r="I13" s="4">
        <f t="shared" si="1"/>
        <v>2110.650633984375</v>
      </c>
      <c r="J13" s="4">
        <f t="shared" si="1"/>
        <v>2216.1831656835939</v>
      </c>
      <c r="K13" s="4">
        <f t="shared" si="1"/>
        <v>2326.9923239677737</v>
      </c>
      <c r="L13" s="4">
        <f t="shared" si="1"/>
        <v>2443.3419401661622</v>
      </c>
      <c r="M13" s="4">
        <f t="shared" si="1"/>
        <v>2565.5090371744704</v>
      </c>
      <c r="N13" s="12">
        <f t="shared" ref="N13:N28" si="2">SUM(B13:M13)</f>
        <v>23875.689780663877</v>
      </c>
    </row>
    <row r="14" spans="1:14" ht="16.5" thickBot="1" x14ac:dyDescent="0.3">
      <c r="A14" s="7" t="s">
        <v>46</v>
      </c>
      <c r="B14" s="18">
        <v>-3200</v>
      </c>
      <c r="C14" s="15">
        <f>B14*5%+B14</f>
        <v>-3360</v>
      </c>
      <c r="D14" s="15">
        <f t="shared" ref="D14:M14" si="3">C14*5%+C14</f>
        <v>-3528</v>
      </c>
      <c r="E14" s="15">
        <f t="shared" si="3"/>
        <v>-3704.4</v>
      </c>
      <c r="F14" s="15">
        <f t="shared" si="3"/>
        <v>-3889.62</v>
      </c>
      <c r="G14" s="15">
        <f t="shared" si="3"/>
        <v>-4084.1009999999997</v>
      </c>
      <c r="H14" s="15">
        <f t="shared" si="3"/>
        <v>-4288.3060499999992</v>
      </c>
      <c r="I14" s="15">
        <f t="shared" si="3"/>
        <v>-4502.7213524999988</v>
      </c>
      <c r="J14" s="15">
        <f t="shared" si="3"/>
        <v>-4727.8574201249985</v>
      </c>
      <c r="K14" s="15">
        <f t="shared" si="3"/>
        <v>-4964.2502911312486</v>
      </c>
      <c r="L14" s="15">
        <f t="shared" si="3"/>
        <v>-5212.4628056878109</v>
      </c>
      <c r="M14" s="15">
        <f t="shared" si="3"/>
        <v>-5473.0859459722014</v>
      </c>
      <c r="N14" s="12">
        <f t="shared" si="2"/>
        <v>-50934.804865416256</v>
      </c>
    </row>
    <row r="15" spans="1:14" ht="16.5" thickBot="1" x14ac:dyDescent="0.3">
      <c r="A15" s="8" t="s">
        <v>1</v>
      </c>
      <c r="B15" s="12">
        <f>SUM(B12:B14)</f>
        <v>2800</v>
      </c>
      <c r="C15" s="12">
        <f t="shared" ref="C15:M15" si="4">SUM(C12:C14)</f>
        <v>2940</v>
      </c>
      <c r="D15" s="12">
        <f t="shared" si="4"/>
        <v>3087</v>
      </c>
      <c r="E15" s="12">
        <f t="shared" si="4"/>
        <v>3241.35</v>
      </c>
      <c r="F15" s="12">
        <f t="shared" si="4"/>
        <v>3403.4175000000005</v>
      </c>
      <c r="G15" s="12">
        <f t="shared" si="4"/>
        <v>3573.5883750000003</v>
      </c>
      <c r="H15" s="12">
        <f t="shared" si="4"/>
        <v>3752.2677937500002</v>
      </c>
      <c r="I15" s="12">
        <f t="shared" si="4"/>
        <v>3939.881183437501</v>
      </c>
      <c r="J15" s="12">
        <f t="shared" si="4"/>
        <v>4136.875242609377</v>
      </c>
      <c r="K15" s="12">
        <f t="shared" si="4"/>
        <v>4343.7190047398444</v>
      </c>
      <c r="L15" s="12">
        <f t="shared" si="4"/>
        <v>4560.9049549768379</v>
      </c>
      <c r="M15" s="12">
        <f t="shared" si="4"/>
        <v>4788.9502027256785</v>
      </c>
      <c r="N15" s="12">
        <f t="shared" si="2"/>
        <v>44567.954257239238</v>
      </c>
    </row>
    <row r="16" spans="1:14" ht="16.5" thickBot="1" x14ac:dyDescent="0.3">
      <c r="A16" s="7"/>
      <c r="N16" s="12"/>
    </row>
    <row r="17" spans="1:14" ht="16.5" thickBot="1" x14ac:dyDescent="0.3">
      <c r="A17" s="13" t="s">
        <v>66</v>
      </c>
      <c r="N17" s="12"/>
    </row>
    <row r="18" spans="1:14" ht="16.5" thickBot="1" x14ac:dyDescent="0.3">
      <c r="A18" s="7" t="s">
        <v>62</v>
      </c>
      <c r="B18" s="2">
        <v>200</v>
      </c>
      <c r="C18" s="4">
        <f>B18*5%+B18</f>
        <v>210</v>
      </c>
      <c r="D18" s="4">
        <f t="shared" ref="D18:M18" si="5">C18*5%+C18</f>
        <v>220.5</v>
      </c>
      <c r="E18" s="4">
        <f t="shared" si="5"/>
        <v>231.52500000000001</v>
      </c>
      <c r="F18" s="4">
        <f t="shared" si="5"/>
        <v>243.10124999999999</v>
      </c>
      <c r="G18" s="4">
        <f t="shared" si="5"/>
        <v>255.25631249999998</v>
      </c>
      <c r="H18" s="4">
        <f t="shared" si="5"/>
        <v>268.01912812499995</v>
      </c>
      <c r="I18" s="4">
        <f t="shared" si="5"/>
        <v>281.42008453124993</v>
      </c>
      <c r="J18" s="4">
        <f t="shared" si="5"/>
        <v>295.49108875781241</v>
      </c>
      <c r="K18" s="4">
        <f t="shared" si="5"/>
        <v>310.26564319570303</v>
      </c>
      <c r="L18" s="4">
        <f t="shared" si="5"/>
        <v>325.77892535548818</v>
      </c>
      <c r="M18" s="4">
        <f t="shared" si="5"/>
        <v>342.06787162326259</v>
      </c>
      <c r="N18" s="12">
        <f t="shared" si="2"/>
        <v>3183.425304088516</v>
      </c>
    </row>
    <row r="19" spans="1:14" ht="16.5" thickBot="1" x14ac:dyDescent="0.3">
      <c r="A19" s="7" t="s">
        <v>63</v>
      </c>
      <c r="B19" s="2">
        <v>160</v>
      </c>
      <c r="C19" s="4">
        <f t="shared" ref="C19:M19" si="6">B19*5%+B19</f>
        <v>168</v>
      </c>
      <c r="D19" s="4">
        <f t="shared" si="6"/>
        <v>176.4</v>
      </c>
      <c r="E19" s="4">
        <f t="shared" si="6"/>
        <v>185.22</v>
      </c>
      <c r="F19" s="4">
        <f t="shared" si="6"/>
        <v>194.48099999999999</v>
      </c>
      <c r="G19" s="4">
        <f t="shared" si="6"/>
        <v>204.20505</v>
      </c>
      <c r="H19" s="4">
        <f t="shared" si="6"/>
        <v>214.4153025</v>
      </c>
      <c r="I19" s="4">
        <f t="shared" si="6"/>
        <v>225.13606762500001</v>
      </c>
      <c r="J19" s="4">
        <f t="shared" si="6"/>
        <v>236.39287100625</v>
      </c>
      <c r="K19" s="4">
        <f t="shared" si="6"/>
        <v>248.2125145565625</v>
      </c>
      <c r="L19" s="4">
        <f t="shared" si="6"/>
        <v>260.62314028439062</v>
      </c>
      <c r="M19" s="4">
        <f t="shared" si="6"/>
        <v>273.65429729861012</v>
      </c>
      <c r="N19" s="12">
        <f t="shared" si="2"/>
        <v>2546.7402432708132</v>
      </c>
    </row>
    <row r="20" spans="1:14" ht="16.5" thickBot="1" x14ac:dyDescent="0.3">
      <c r="A20" s="7" t="s">
        <v>47</v>
      </c>
      <c r="B20" s="2">
        <v>170</v>
      </c>
      <c r="C20" s="4">
        <f t="shared" ref="C20:M20" si="7">B20*5%+B20</f>
        <v>178.5</v>
      </c>
      <c r="D20" s="4">
        <f t="shared" si="7"/>
        <v>187.42500000000001</v>
      </c>
      <c r="E20" s="4">
        <f t="shared" si="7"/>
        <v>196.79625000000001</v>
      </c>
      <c r="F20" s="4">
        <f t="shared" si="7"/>
        <v>206.63606250000001</v>
      </c>
      <c r="G20" s="4">
        <f t="shared" si="7"/>
        <v>216.967865625</v>
      </c>
      <c r="H20" s="4">
        <f t="shared" si="7"/>
        <v>227.81625890625</v>
      </c>
      <c r="I20" s="4">
        <f t="shared" si="7"/>
        <v>239.20707185156249</v>
      </c>
      <c r="J20" s="4">
        <f t="shared" si="7"/>
        <v>251.1674254441406</v>
      </c>
      <c r="K20" s="4">
        <f t="shared" si="7"/>
        <v>263.72579671634765</v>
      </c>
      <c r="L20" s="4">
        <f t="shared" si="7"/>
        <v>276.91208655216502</v>
      </c>
      <c r="M20" s="4">
        <f t="shared" si="7"/>
        <v>290.75769087977329</v>
      </c>
      <c r="N20" s="12">
        <f t="shared" si="2"/>
        <v>2705.9115084752389</v>
      </c>
    </row>
    <row r="21" spans="1:14" ht="16.5" thickBot="1" x14ac:dyDescent="0.3">
      <c r="A21" s="7" t="s">
        <v>64</v>
      </c>
      <c r="B21" s="2">
        <v>100</v>
      </c>
      <c r="C21" s="4">
        <f t="shared" ref="C21:M21" si="8">B21*5%+B21</f>
        <v>105</v>
      </c>
      <c r="D21" s="4">
        <f t="shared" si="8"/>
        <v>110.25</v>
      </c>
      <c r="E21" s="4">
        <f t="shared" si="8"/>
        <v>115.7625</v>
      </c>
      <c r="F21" s="4">
        <f t="shared" si="8"/>
        <v>121.550625</v>
      </c>
      <c r="G21" s="4">
        <f t="shared" si="8"/>
        <v>127.62815624999999</v>
      </c>
      <c r="H21" s="4">
        <f t="shared" si="8"/>
        <v>134.00956406249998</v>
      </c>
      <c r="I21" s="4">
        <f t="shared" si="8"/>
        <v>140.71004226562496</v>
      </c>
      <c r="J21" s="4">
        <f t="shared" si="8"/>
        <v>147.7455443789062</v>
      </c>
      <c r="K21" s="4">
        <f t="shared" si="8"/>
        <v>155.13282159785152</v>
      </c>
      <c r="L21" s="4">
        <f t="shared" si="8"/>
        <v>162.88946267774409</v>
      </c>
      <c r="M21" s="4">
        <f t="shared" si="8"/>
        <v>171.0339358116313</v>
      </c>
      <c r="N21" s="12">
        <f t="shared" si="2"/>
        <v>1591.712652044258</v>
      </c>
    </row>
    <row r="22" spans="1:14" ht="16.5" thickBot="1" x14ac:dyDescent="0.3">
      <c r="A22" s="7" t="s">
        <v>65</v>
      </c>
      <c r="B22" s="2">
        <v>200</v>
      </c>
      <c r="C22" s="4">
        <f t="shared" ref="C22:M22" si="9">B22*5%+B22</f>
        <v>210</v>
      </c>
      <c r="D22" s="4">
        <f t="shared" si="9"/>
        <v>220.5</v>
      </c>
      <c r="E22" s="4">
        <f t="shared" si="9"/>
        <v>231.52500000000001</v>
      </c>
      <c r="F22" s="4">
        <f t="shared" si="9"/>
        <v>243.10124999999999</v>
      </c>
      <c r="G22" s="4">
        <f t="shared" si="9"/>
        <v>255.25631249999998</v>
      </c>
      <c r="H22" s="4">
        <f t="shared" si="9"/>
        <v>268.01912812499995</v>
      </c>
      <c r="I22" s="4">
        <f t="shared" si="9"/>
        <v>281.42008453124993</v>
      </c>
      <c r="J22" s="4">
        <f t="shared" si="9"/>
        <v>295.49108875781241</v>
      </c>
      <c r="K22" s="4">
        <f t="shared" si="9"/>
        <v>310.26564319570303</v>
      </c>
      <c r="L22" s="4">
        <f t="shared" si="9"/>
        <v>325.77892535548818</v>
      </c>
      <c r="M22" s="4">
        <f t="shared" si="9"/>
        <v>342.06787162326259</v>
      </c>
      <c r="N22" s="12">
        <f t="shared" si="2"/>
        <v>3183.425304088516</v>
      </c>
    </row>
    <row r="23" spans="1:14" ht="16.5" thickBot="1" x14ac:dyDescent="0.3">
      <c r="A23" s="7" t="s">
        <v>2</v>
      </c>
      <c r="B23" s="2">
        <v>85</v>
      </c>
      <c r="C23" s="4">
        <f t="shared" ref="C23:M23" si="10">B23*5%+B23</f>
        <v>89.25</v>
      </c>
      <c r="D23" s="4">
        <f t="shared" si="10"/>
        <v>93.712500000000006</v>
      </c>
      <c r="E23" s="4">
        <f t="shared" si="10"/>
        <v>98.398125000000007</v>
      </c>
      <c r="F23" s="4">
        <f t="shared" si="10"/>
        <v>103.31803125</v>
      </c>
      <c r="G23" s="4">
        <f t="shared" si="10"/>
        <v>108.4839328125</v>
      </c>
      <c r="H23" s="4">
        <f t="shared" si="10"/>
        <v>113.908129453125</v>
      </c>
      <c r="I23" s="4">
        <f t="shared" si="10"/>
        <v>119.60353592578124</v>
      </c>
      <c r="J23" s="4">
        <f t="shared" si="10"/>
        <v>125.5837127220703</v>
      </c>
      <c r="K23" s="4">
        <f t="shared" si="10"/>
        <v>131.86289835817382</v>
      </c>
      <c r="L23" s="4">
        <f t="shared" si="10"/>
        <v>138.45604327608251</v>
      </c>
      <c r="M23" s="4">
        <f t="shared" si="10"/>
        <v>145.37884543988665</v>
      </c>
      <c r="N23" s="12">
        <f t="shared" si="2"/>
        <v>1352.9557542376194</v>
      </c>
    </row>
    <row r="24" spans="1:14" ht="16.5" thickBot="1" x14ac:dyDescent="0.3">
      <c r="A24" s="7" t="s">
        <v>3</v>
      </c>
      <c r="B24" s="2">
        <v>100</v>
      </c>
      <c r="C24" s="4">
        <f t="shared" ref="C24:M24" si="11">B24*5%+B24</f>
        <v>105</v>
      </c>
      <c r="D24" s="4">
        <f t="shared" si="11"/>
        <v>110.25</v>
      </c>
      <c r="E24" s="4">
        <f t="shared" si="11"/>
        <v>115.7625</v>
      </c>
      <c r="F24" s="4">
        <f t="shared" si="11"/>
        <v>121.550625</v>
      </c>
      <c r="G24" s="4">
        <f t="shared" si="11"/>
        <v>127.62815624999999</v>
      </c>
      <c r="H24" s="4">
        <f t="shared" si="11"/>
        <v>134.00956406249998</v>
      </c>
      <c r="I24" s="4">
        <f t="shared" si="11"/>
        <v>140.71004226562496</v>
      </c>
      <c r="J24" s="4">
        <f t="shared" si="11"/>
        <v>147.7455443789062</v>
      </c>
      <c r="K24" s="4">
        <f t="shared" si="11"/>
        <v>155.13282159785152</v>
      </c>
      <c r="L24" s="4">
        <f t="shared" si="11"/>
        <v>162.88946267774409</v>
      </c>
      <c r="M24" s="4">
        <f t="shared" si="11"/>
        <v>171.0339358116313</v>
      </c>
      <c r="N24" s="12">
        <f t="shared" si="2"/>
        <v>1591.712652044258</v>
      </c>
    </row>
    <row r="25" spans="1:14" ht="32.25" thickBot="1" x14ac:dyDescent="0.3">
      <c r="A25" s="8" t="s">
        <v>4</v>
      </c>
      <c r="B25" s="16">
        <f>SUM(B18:B24)</f>
        <v>1015</v>
      </c>
      <c r="C25" s="17">
        <f t="shared" ref="C25:M25" si="12">B25*5%+B25</f>
        <v>1065.75</v>
      </c>
      <c r="D25" s="17">
        <f t="shared" si="12"/>
        <v>1119.0374999999999</v>
      </c>
      <c r="E25" s="17">
        <f t="shared" si="12"/>
        <v>1174.9893749999999</v>
      </c>
      <c r="F25" s="17">
        <f t="shared" si="12"/>
        <v>1233.7388437499999</v>
      </c>
      <c r="G25" s="17">
        <f t="shared" si="12"/>
        <v>1295.4257859374998</v>
      </c>
      <c r="H25" s="17">
        <f t="shared" si="12"/>
        <v>1360.1970752343748</v>
      </c>
      <c r="I25" s="17">
        <f t="shared" si="12"/>
        <v>1428.2069289960934</v>
      </c>
      <c r="J25" s="17">
        <f t="shared" si="12"/>
        <v>1499.617275445898</v>
      </c>
      <c r="K25" s="17">
        <f t="shared" si="12"/>
        <v>1574.598139218193</v>
      </c>
      <c r="L25" s="17">
        <f t="shared" si="12"/>
        <v>1653.3280461791026</v>
      </c>
      <c r="M25" s="17">
        <f t="shared" si="12"/>
        <v>1735.9944484880577</v>
      </c>
      <c r="N25" s="12">
        <f t="shared" si="2"/>
        <v>16155.883418249217</v>
      </c>
    </row>
    <row r="26" spans="1:14" ht="16.5" thickBot="1" x14ac:dyDescent="0.3">
      <c r="N26" s="12"/>
    </row>
    <row r="27" spans="1:14" ht="32.25" thickBot="1" x14ac:dyDescent="0.3">
      <c r="A27" s="8" t="s">
        <v>67</v>
      </c>
      <c r="B27" s="12">
        <f>B15-B25</f>
        <v>1785</v>
      </c>
      <c r="C27" s="12">
        <f t="shared" ref="C27:M27" si="13">C15-C25</f>
        <v>1874.25</v>
      </c>
      <c r="D27" s="12">
        <f t="shared" si="13"/>
        <v>1967.9625000000001</v>
      </c>
      <c r="E27" s="12">
        <f t="shared" si="13"/>
        <v>2066.3606250000003</v>
      </c>
      <c r="F27" s="12">
        <f t="shared" si="13"/>
        <v>2169.6786562500006</v>
      </c>
      <c r="G27" s="12">
        <f t="shared" si="13"/>
        <v>2278.1625890625005</v>
      </c>
      <c r="H27" s="12">
        <f t="shared" si="13"/>
        <v>2392.0707185156252</v>
      </c>
      <c r="I27" s="12">
        <f t="shared" si="13"/>
        <v>2511.6742544414074</v>
      </c>
      <c r="J27" s="12">
        <f t="shared" si="13"/>
        <v>2637.257967163479</v>
      </c>
      <c r="K27" s="12">
        <f t="shared" si="13"/>
        <v>2769.1208655216515</v>
      </c>
      <c r="L27" s="12">
        <f t="shared" si="13"/>
        <v>2907.5769087977351</v>
      </c>
      <c r="M27" s="12">
        <f t="shared" si="13"/>
        <v>3052.9557542376206</v>
      </c>
      <c r="N27" s="12">
        <f t="shared" si="2"/>
        <v>28412.070838990017</v>
      </c>
    </row>
    <row r="28" spans="1:14" ht="32.25" thickBot="1" x14ac:dyDescent="0.3">
      <c r="A28" s="7" t="s">
        <v>100</v>
      </c>
      <c r="B28" s="14">
        <f>B27*15%</f>
        <v>267.75</v>
      </c>
      <c r="C28" s="15">
        <f t="shared" ref="C28:M28" si="14">C27*15%</f>
        <v>281.13749999999999</v>
      </c>
      <c r="D28" s="15">
        <f t="shared" si="14"/>
        <v>295.19437499999998</v>
      </c>
      <c r="E28" s="15">
        <f t="shared" si="14"/>
        <v>309.95409375000003</v>
      </c>
      <c r="F28" s="15">
        <f t="shared" si="14"/>
        <v>325.45179843750009</v>
      </c>
      <c r="G28" s="15">
        <f t="shared" si="14"/>
        <v>341.72438835937504</v>
      </c>
      <c r="H28" s="15">
        <f t="shared" si="14"/>
        <v>358.81060777734376</v>
      </c>
      <c r="I28" s="15">
        <f t="shared" si="14"/>
        <v>376.75113816621109</v>
      </c>
      <c r="J28" s="15">
        <f t="shared" si="14"/>
        <v>395.58869507452181</v>
      </c>
      <c r="K28" s="15">
        <f t="shared" si="14"/>
        <v>415.36812982824773</v>
      </c>
      <c r="L28" s="15">
        <f t="shared" si="14"/>
        <v>436.13653631966025</v>
      </c>
      <c r="M28" s="15">
        <f t="shared" si="14"/>
        <v>457.9433631356431</v>
      </c>
      <c r="N28" s="12">
        <f t="shared" si="2"/>
        <v>4261.8106258485022</v>
      </c>
    </row>
    <row r="29" spans="1:14" ht="15" customHeight="1" thickBot="1" x14ac:dyDescent="0.3">
      <c r="A29" s="8" t="s">
        <v>5</v>
      </c>
      <c r="B29" s="12">
        <f>B27-B28</f>
        <v>1517.25</v>
      </c>
      <c r="C29" s="12">
        <f t="shared" ref="C29:M29" si="15">C27-C28</f>
        <v>1593.1125</v>
      </c>
      <c r="D29" s="12">
        <f t="shared" si="15"/>
        <v>1672.7681250000001</v>
      </c>
      <c r="E29" s="12">
        <f t="shared" si="15"/>
        <v>1756.4065312500002</v>
      </c>
      <c r="F29" s="12">
        <f t="shared" si="15"/>
        <v>1844.2268578125004</v>
      </c>
      <c r="G29" s="12">
        <f t="shared" si="15"/>
        <v>1936.4382007031254</v>
      </c>
      <c r="H29" s="12">
        <f t="shared" si="15"/>
        <v>2033.2601107382816</v>
      </c>
      <c r="I29" s="12">
        <f t="shared" si="15"/>
        <v>2134.9231162751962</v>
      </c>
      <c r="J29" s="12">
        <f t="shared" si="15"/>
        <v>2241.6692720889573</v>
      </c>
      <c r="K29" s="12">
        <f t="shared" si="15"/>
        <v>2353.7527356934038</v>
      </c>
      <c r="L29" s="12">
        <f t="shared" si="15"/>
        <v>2471.440372478075</v>
      </c>
      <c r="M29" s="12">
        <f t="shared" si="15"/>
        <v>2595.0123911019773</v>
      </c>
      <c r="N29" s="12">
        <f>SUM(B29:M29)</f>
        <v>24150.260213141519</v>
      </c>
    </row>
    <row r="30" spans="1:14" ht="15" customHeight="1" x14ac:dyDescent="0.25"/>
    <row r="31" spans="1:14" ht="15" customHeight="1" x14ac:dyDescent="0.25"/>
    <row r="32" spans="1:14" ht="15" customHeight="1" x14ac:dyDescent="0.25"/>
    <row r="33" spans="2:9" ht="15" customHeight="1" x14ac:dyDescent="0.25"/>
    <row r="34" spans="2:9" ht="15" customHeight="1" x14ac:dyDescent="0.25"/>
    <row r="35" spans="2:9" ht="15" customHeight="1" x14ac:dyDescent="0.25"/>
    <row r="36" spans="2:9" ht="48.75" customHeight="1" x14ac:dyDescent="0.25">
      <c r="B36" s="86" t="s">
        <v>89</v>
      </c>
      <c r="C36" s="86"/>
      <c r="D36" s="85" t="s">
        <v>91</v>
      </c>
      <c r="E36" s="85"/>
      <c r="F36" s="55" t="s">
        <v>92</v>
      </c>
      <c r="G36" s="55" t="s">
        <v>93</v>
      </c>
      <c r="H36" s="85" t="s">
        <v>94</v>
      </c>
      <c r="I36" s="85"/>
    </row>
    <row r="37" spans="2:9" ht="15" customHeight="1" x14ac:dyDescent="0.25">
      <c r="B37" s="87" t="s">
        <v>0</v>
      </c>
      <c r="C37" s="87"/>
      <c r="D37" s="2">
        <v>15</v>
      </c>
      <c r="F37" s="2">
        <v>24</v>
      </c>
      <c r="G37" s="2">
        <v>5</v>
      </c>
      <c r="H37" s="88">
        <f>D37*G37*F37</f>
        <v>1800</v>
      </c>
      <c r="I37" s="88"/>
    </row>
    <row r="38" spans="2:9" ht="15" customHeight="1" x14ac:dyDescent="0.25">
      <c r="B38" s="87" t="s">
        <v>90</v>
      </c>
      <c r="C38" s="87"/>
      <c r="D38" s="2">
        <v>5</v>
      </c>
      <c r="F38" s="2">
        <v>24</v>
      </c>
      <c r="G38" s="2">
        <v>10</v>
      </c>
      <c r="H38" s="88">
        <f>D38*G38*F38</f>
        <v>1200</v>
      </c>
      <c r="I38" s="88"/>
    </row>
    <row r="39" spans="2:9" ht="15" customHeight="1" x14ac:dyDescent="0.25">
      <c r="B39" s="87" t="s">
        <v>95</v>
      </c>
      <c r="C39" s="87"/>
      <c r="D39" s="2">
        <v>2</v>
      </c>
      <c r="G39" s="2">
        <v>750</v>
      </c>
      <c r="H39" s="88">
        <f>D39*G39</f>
        <v>1500</v>
      </c>
      <c r="I39" s="88"/>
    </row>
    <row r="40" spans="2:9" ht="15" customHeight="1" x14ac:dyDescent="0.25">
      <c r="B40" s="11"/>
      <c r="C40" s="11"/>
      <c r="H40" s="88"/>
      <c r="I40" s="88"/>
    </row>
    <row r="41" spans="2:9" ht="15" customHeight="1" x14ac:dyDescent="0.25">
      <c r="B41" s="70" t="s">
        <v>96</v>
      </c>
      <c r="C41" s="70"/>
      <c r="D41" s="70"/>
      <c r="E41" s="70"/>
      <c r="F41" s="70"/>
      <c r="G41" s="70"/>
      <c r="H41" s="70">
        <f>SUM(H37:I39)</f>
        <v>4500</v>
      </c>
      <c r="I41" s="70"/>
    </row>
    <row r="42" spans="2:9" ht="12.75" customHeight="1" x14ac:dyDescent="0.25"/>
    <row r="43" spans="2:9" ht="21" customHeight="1" x14ac:dyDescent="0.25"/>
    <row r="44" spans="2:9" ht="15" customHeight="1" x14ac:dyDescent="0.25"/>
    <row r="45" spans="2:9" ht="15" customHeight="1" x14ac:dyDescent="0.25"/>
    <row r="46" spans="2:9" ht="15" customHeight="1" x14ac:dyDescent="0.25"/>
    <row r="47" spans="2:9" ht="15" customHeight="1" x14ac:dyDescent="0.25"/>
    <row r="54" spans="1:1" ht="17.25" customHeight="1" x14ac:dyDescent="0.25">
      <c r="A54" s="2">
        <v>13500</v>
      </c>
    </row>
  </sheetData>
  <mergeCells count="27">
    <mergeCell ref="B41:G41"/>
    <mergeCell ref="H36:I36"/>
    <mergeCell ref="B36:C36"/>
    <mergeCell ref="B37:C37"/>
    <mergeCell ref="B38:C38"/>
    <mergeCell ref="B39:C39"/>
    <mergeCell ref="D36:E36"/>
    <mergeCell ref="H41:I41"/>
    <mergeCell ref="H37:I37"/>
    <mergeCell ref="H38:I38"/>
    <mergeCell ref="H39:I39"/>
    <mergeCell ref="H40:I40"/>
    <mergeCell ref="B9:N9"/>
    <mergeCell ref="C2:D2"/>
    <mergeCell ref="E2:F2"/>
    <mergeCell ref="I2:J2"/>
    <mergeCell ref="C3:D3"/>
    <mergeCell ref="I3:J3"/>
    <mergeCell ref="C4:D4"/>
    <mergeCell ref="I4:J4"/>
    <mergeCell ref="K2:M4"/>
    <mergeCell ref="C1:J1"/>
    <mergeCell ref="C5:D5"/>
    <mergeCell ref="I5:J5"/>
    <mergeCell ref="I6:J6"/>
    <mergeCell ref="C7:H7"/>
    <mergeCell ref="I7:J7"/>
  </mergeCells>
  <pageMargins left="0.7" right="0.7" top="0.75" bottom="0.75" header="0.3" footer="0.3"/>
  <pageSetup orientation="portrait" r:id="rId1"/>
  <ignoredErrors>
    <ignoredError sqref="C1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34"/>
  <sheetViews>
    <sheetView workbookViewId="0">
      <selection activeCell="C6" sqref="C6"/>
    </sheetView>
  </sheetViews>
  <sheetFormatPr defaultRowHeight="15" x14ac:dyDescent="0.25"/>
  <cols>
    <col min="2" max="2" width="34.42578125" customWidth="1"/>
    <col min="3" max="3" width="11.28515625" style="23" customWidth="1"/>
    <col min="4" max="4" width="38.28515625" customWidth="1"/>
    <col min="5" max="5" width="12" style="23" customWidth="1"/>
  </cols>
  <sheetData>
    <row r="1" spans="2:5" ht="15.75" thickBot="1" x14ac:dyDescent="0.3"/>
    <row r="2" spans="2:5" ht="21" thickBot="1" x14ac:dyDescent="0.3">
      <c r="B2" s="89" t="s">
        <v>6</v>
      </c>
      <c r="C2" s="90"/>
      <c r="D2" s="90"/>
      <c r="E2" s="91"/>
    </row>
    <row r="3" spans="2:5" ht="19.5" thickBot="1" x14ac:dyDescent="0.3">
      <c r="B3" s="34" t="s">
        <v>7</v>
      </c>
      <c r="C3" s="35" t="s">
        <v>8</v>
      </c>
      <c r="D3" s="34" t="s">
        <v>19</v>
      </c>
      <c r="E3" s="36" t="s">
        <v>20</v>
      </c>
    </row>
    <row r="4" spans="2:5" ht="16.5" thickBot="1" x14ac:dyDescent="0.3">
      <c r="B4" s="31"/>
      <c r="C4" s="24"/>
      <c r="D4" s="31"/>
      <c r="E4" s="30"/>
    </row>
    <row r="5" spans="2:5" ht="17.25" customHeight="1" thickBot="1" x14ac:dyDescent="0.3">
      <c r="B5" s="29" t="s">
        <v>9</v>
      </c>
      <c r="C5" s="24"/>
      <c r="D5" s="29" t="s">
        <v>21</v>
      </c>
      <c r="E5" s="30"/>
    </row>
    <row r="6" spans="2:5" ht="16.5" thickBot="1" x14ac:dyDescent="0.3">
      <c r="B6" s="31" t="s">
        <v>10</v>
      </c>
      <c r="C6" s="25">
        <f>SUM('Start Up Cost'!D14,3000)</f>
        <v>8000</v>
      </c>
      <c r="D6" s="31" t="s">
        <v>22</v>
      </c>
      <c r="E6" s="32">
        <v>1200</v>
      </c>
    </row>
    <row r="7" spans="2:5" ht="22.5" customHeight="1" thickBot="1" x14ac:dyDescent="0.3">
      <c r="B7" s="31" t="s">
        <v>11</v>
      </c>
      <c r="C7" s="25">
        <v>4150</v>
      </c>
      <c r="D7" s="31" t="s">
        <v>23</v>
      </c>
      <c r="E7" s="32">
        <v>0</v>
      </c>
    </row>
    <row r="8" spans="2:5" ht="16.5" thickBot="1" x14ac:dyDescent="0.3">
      <c r="B8" s="31" t="s">
        <v>12</v>
      </c>
      <c r="C8" s="25">
        <f>SUM('Start Up Cost'!E6,'Start Up Cost'!E9,'Start Up Cost'!E5)</f>
        <v>12000</v>
      </c>
      <c r="D8" s="31" t="s">
        <v>24</v>
      </c>
      <c r="E8" s="32">
        <v>0</v>
      </c>
    </row>
    <row r="9" spans="2:5" ht="21" customHeight="1" thickBot="1" x14ac:dyDescent="0.3">
      <c r="B9" s="31" t="s">
        <v>13</v>
      </c>
      <c r="C9" s="25">
        <f>SUM('Start Up Cost'!E5,'Start Up Cost'!E6,'Start Up Cost'!E9)</f>
        <v>12000</v>
      </c>
      <c r="D9" s="29" t="s">
        <v>72</v>
      </c>
      <c r="E9" s="32">
        <f>SUM(E6:E8)</f>
        <v>1200</v>
      </c>
    </row>
    <row r="10" spans="2:5" ht="28.5" customHeight="1" thickBot="1" x14ac:dyDescent="0.3">
      <c r="B10" s="29" t="s">
        <v>14</v>
      </c>
      <c r="C10" s="26">
        <f>SUM(C6:C9)</f>
        <v>36150</v>
      </c>
      <c r="D10" s="31"/>
      <c r="E10" s="30"/>
    </row>
    <row r="11" spans="2:5" ht="27.75" customHeight="1" thickBot="1" x14ac:dyDescent="0.3">
      <c r="B11" s="31"/>
      <c r="C11" s="24"/>
      <c r="D11" s="29" t="s">
        <v>25</v>
      </c>
      <c r="E11" s="32">
        <f>SUM('Start Up Cost'!D15)</f>
        <v>10000</v>
      </c>
    </row>
    <row r="12" spans="2:5" ht="19.5" customHeight="1" thickBot="1" x14ac:dyDescent="0.3">
      <c r="B12" s="31" t="s">
        <v>15</v>
      </c>
      <c r="C12" s="24"/>
      <c r="D12" s="29" t="s">
        <v>26</v>
      </c>
      <c r="E12" s="32">
        <f>SUM(E9:E11)</f>
        <v>11200</v>
      </c>
    </row>
    <row r="13" spans="2:5" ht="19.5" customHeight="1" thickBot="1" x14ac:dyDescent="0.3">
      <c r="B13" s="31" t="s">
        <v>70</v>
      </c>
      <c r="C13" s="25">
        <f>SUM('Start Up Cost'!E3,'Start Up Cost'!E4,'Start Up Cost'!E7)</f>
        <v>9000</v>
      </c>
      <c r="D13" s="31"/>
      <c r="E13" s="30"/>
    </row>
    <row r="14" spans="2:5" ht="18.75" customHeight="1" thickBot="1" x14ac:dyDescent="0.3">
      <c r="B14" s="31" t="s">
        <v>15</v>
      </c>
      <c r="C14" s="25">
        <v>12000</v>
      </c>
      <c r="D14" s="31" t="s">
        <v>27</v>
      </c>
      <c r="E14" s="32">
        <f>SUM('Start Up Cost'!D15,'Start Up Cost'!D16)</f>
        <v>20000</v>
      </c>
    </row>
    <row r="15" spans="2:5" ht="24.75" customHeight="1" thickBot="1" x14ac:dyDescent="0.3">
      <c r="B15" s="31" t="s">
        <v>16</v>
      </c>
      <c r="C15" s="25">
        <f>-C14*15%</f>
        <v>-1800</v>
      </c>
      <c r="D15" s="31" t="s">
        <v>28</v>
      </c>
      <c r="E15" s="37">
        <f>SUM('Income Statement Year 1'!B29,'Income Statement Year 1'!C29,'Income Statement Year 1'!D29,'Income Statement Year 1'!E29,'Income Statement Year 1'!F29,'Income Statement Year 1'!G29,'Income Statement Year 1'!H29,'Income Statement Year 1'!I29,'Income Statement Year 1'!J29,'Income Statement Year 1'!K29,'Income Statement Year 1'!L29,'Income Statement Year 1'!M29)</f>
        <v>24150.260213141519</v>
      </c>
    </row>
    <row r="16" spans="2:5" ht="22.5" customHeight="1" thickBot="1" x14ac:dyDescent="0.3">
      <c r="B16" s="38" t="s">
        <v>17</v>
      </c>
      <c r="C16" s="39">
        <f>SUM(C13:C15)</f>
        <v>19200</v>
      </c>
      <c r="D16" s="38" t="s">
        <v>29</v>
      </c>
      <c r="E16" s="40">
        <f>SUM(E14:E15)</f>
        <v>44150.260213141519</v>
      </c>
    </row>
    <row r="17" spans="2:6" ht="19.5" thickBot="1" x14ac:dyDescent="0.3">
      <c r="B17" s="41" t="s">
        <v>18</v>
      </c>
      <c r="C17" s="42">
        <f>SUM(C10,C16)</f>
        <v>55350</v>
      </c>
      <c r="D17" s="41" t="s">
        <v>30</v>
      </c>
      <c r="E17" s="43">
        <f>E16+E12</f>
        <v>55350.260213141519</v>
      </c>
    </row>
    <row r="18" spans="2:6" ht="16.5" thickBot="1" x14ac:dyDescent="0.3">
      <c r="B18" s="27"/>
      <c r="C18" s="28"/>
      <c r="F18" s="22"/>
    </row>
    <row r="19" spans="2:6" ht="24.75" customHeight="1" x14ac:dyDescent="0.25"/>
    <row r="21" spans="2:6" ht="18.75" customHeight="1" x14ac:dyDescent="0.25"/>
    <row r="22" spans="2:6" ht="18" customHeight="1" x14ac:dyDescent="0.25"/>
    <row r="23" spans="2:6" ht="20.25" customHeight="1" x14ac:dyDescent="0.25"/>
    <row r="24" spans="2:6" ht="21" customHeight="1" x14ac:dyDescent="0.25"/>
    <row r="25" spans="2:6" ht="19.5" customHeight="1" x14ac:dyDescent="0.25"/>
    <row r="27" spans="2:6" ht="22.5" customHeight="1" x14ac:dyDescent="0.25"/>
    <row r="28" spans="2:6" ht="21.75" customHeight="1" x14ac:dyDescent="0.25"/>
    <row r="30" spans="2:6" ht="23.25" customHeight="1" x14ac:dyDescent="0.25"/>
    <row r="31" spans="2:6" ht="20.25" customHeight="1" x14ac:dyDescent="0.25"/>
    <row r="32" spans="2:6" ht="22.5" customHeight="1" x14ac:dyDescent="0.25"/>
    <row r="33" spans="2:3" ht="30.75" customHeight="1" thickBot="1" x14ac:dyDescent="0.3"/>
    <row r="34" spans="2:3" ht="16.5" thickBot="1" x14ac:dyDescent="0.3">
      <c r="B34" s="7"/>
      <c r="C34" s="24"/>
    </row>
  </sheetData>
  <mergeCells count="1">
    <mergeCell ref="B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22"/>
  <sheetViews>
    <sheetView topLeftCell="A2" workbookViewId="0">
      <selection activeCell="F18" sqref="F18"/>
    </sheetView>
  </sheetViews>
  <sheetFormatPr defaultRowHeight="15.75" x14ac:dyDescent="0.25"/>
  <cols>
    <col min="1" max="1" width="15.85546875" style="2" customWidth="1"/>
    <col min="2" max="2" width="27" style="2" customWidth="1"/>
    <col min="3" max="3" width="13" style="2" customWidth="1"/>
  </cols>
  <sheetData>
    <row r="2" spans="1:3" ht="18.75" x14ac:dyDescent="0.3">
      <c r="A2" s="94" t="s">
        <v>88</v>
      </c>
      <c r="B2" s="94"/>
      <c r="C2" s="94"/>
    </row>
    <row r="3" spans="1:3" x14ac:dyDescent="0.25">
      <c r="A3" s="44" t="s">
        <v>73</v>
      </c>
      <c r="B3" s="44"/>
      <c r="C3" s="45" t="s">
        <v>99</v>
      </c>
    </row>
    <row r="4" spans="1:3" x14ac:dyDescent="0.25">
      <c r="A4" s="95" t="s">
        <v>74</v>
      </c>
      <c r="B4" s="95"/>
      <c r="C4" s="47"/>
    </row>
    <row r="5" spans="1:3" x14ac:dyDescent="0.25">
      <c r="A5" s="96" t="s">
        <v>75</v>
      </c>
      <c r="B5" s="96"/>
      <c r="C5" s="60">
        <f>SUM('Income Statement Year 1'!B12,'Income Statement Year 1'!C12,'Income Statement Year 1'!D12,'Income Statement Year 1'!E12,'Income Statement Year 1'!F12,'Income Statement Year 1'!G12,'Income Statement Year 1'!H12,'Income Statement Year 1'!I12,'Income Statement Year 1'!J12,'Income Statement Year 1'!K12,'Income Statement Year 1'!L12,'Income Statement Year 1'!M12)</f>
        <v>71627.069341991621</v>
      </c>
    </row>
    <row r="6" spans="1:3" x14ac:dyDescent="0.25">
      <c r="A6" s="96" t="s">
        <v>76</v>
      </c>
      <c r="B6" s="96"/>
      <c r="C6" s="61"/>
    </row>
    <row r="7" spans="1:3" x14ac:dyDescent="0.25">
      <c r="A7" s="95" t="s">
        <v>77</v>
      </c>
      <c r="B7" s="95"/>
      <c r="C7" s="62"/>
    </row>
    <row r="8" spans="1:3" x14ac:dyDescent="0.25">
      <c r="A8" s="95" t="s">
        <v>78</v>
      </c>
      <c r="B8" s="95"/>
      <c r="C8" s="63">
        <f>-'Balance sheet Year 1'!C8</f>
        <v>-12000</v>
      </c>
    </row>
    <row r="9" spans="1:3" x14ac:dyDescent="0.25">
      <c r="A9" s="95" t="s">
        <v>79</v>
      </c>
      <c r="B9" s="95"/>
      <c r="C9" s="61">
        <f>-'Income Statement Year 1'!N25</f>
        <v>-16155.883418249217</v>
      </c>
    </row>
    <row r="10" spans="1:3" x14ac:dyDescent="0.25">
      <c r="A10" s="95" t="s">
        <v>80</v>
      </c>
      <c r="B10" s="95"/>
      <c r="C10" s="61">
        <f>-'Income Statement Year 1'!N28</f>
        <v>-4261.8106258485022</v>
      </c>
    </row>
    <row r="11" spans="1:3" x14ac:dyDescent="0.25">
      <c r="A11" s="48" t="s">
        <v>81</v>
      </c>
      <c r="B11" s="48"/>
      <c r="C11" s="64">
        <f>SUM(C5:C10)</f>
        <v>39209.375297893901</v>
      </c>
    </row>
    <row r="12" spans="1:3" x14ac:dyDescent="0.25">
      <c r="A12" s="49"/>
      <c r="B12" s="49"/>
      <c r="C12" s="62"/>
    </row>
    <row r="13" spans="1:3" x14ac:dyDescent="0.25">
      <c r="A13" s="44" t="s">
        <v>82</v>
      </c>
      <c r="B13" s="44"/>
      <c r="C13" s="65"/>
    </row>
    <row r="14" spans="1:3" x14ac:dyDescent="0.25">
      <c r="A14" s="95" t="s">
        <v>77</v>
      </c>
      <c r="B14" s="95"/>
      <c r="C14" s="62"/>
    </row>
    <row r="15" spans="1:3" x14ac:dyDescent="0.25">
      <c r="A15" s="95" t="s">
        <v>87</v>
      </c>
      <c r="B15" s="95"/>
      <c r="C15" s="63">
        <f>SUM(-'Balance sheet Year 1'!C13)</f>
        <v>-9000</v>
      </c>
    </row>
    <row r="16" spans="1:3" x14ac:dyDescent="0.25">
      <c r="A16" s="51" t="s">
        <v>83</v>
      </c>
      <c r="B16" s="51"/>
      <c r="C16" s="64">
        <f>SUM(C14:C15)</f>
        <v>-9000</v>
      </c>
    </row>
    <row r="17" spans="1:3" x14ac:dyDescent="0.25">
      <c r="A17" s="52"/>
      <c r="B17" s="50"/>
      <c r="C17" s="62"/>
    </row>
    <row r="18" spans="1:3" s="46" customFormat="1" x14ac:dyDescent="0.25">
      <c r="A18" s="45" t="s">
        <v>84</v>
      </c>
      <c r="B18" s="45"/>
      <c r="C18" s="65"/>
    </row>
    <row r="19" spans="1:3" x14ac:dyDescent="0.25">
      <c r="A19" s="95" t="s">
        <v>74</v>
      </c>
      <c r="B19" s="95"/>
      <c r="C19" s="62"/>
    </row>
    <row r="20" spans="1:3" x14ac:dyDescent="0.25">
      <c r="A20" s="93" t="s">
        <v>85</v>
      </c>
      <c r="B20" s="93"/>
      <c r="C20" s="64">
        <f>SUM(C19:C19)</f>
        <v>0</v>
      </c>
    </row>
    <row r="21" spans="1:3" x14ac:dyDescent="0.25">
      <c r="A21" s="49"/>
      <c r="B21" s="49"/>
      <c r="C21" s="62"/>
    </row>
    <row r="22" spans="1:3" x14ac:dyDescent="0.25">
      <c r="A22" s="92" t="s">
        <v>86</v>
      </c>
      <c r="B22" s="92"/>
      <c r="C22" s="66">
        <f>C11+C16+C20</f>
        <v>30209.375297893901</v>
      </c>
    </row>
  </sheetData>
  <mergeCells count="13">
    <mergeCell ref="A22:B22"/>
    <mergeCell ref="A20:B20"/>
    <mergeCell ref="A2:C2"/>
    <mergeCell ref="A19:B19"/>
    <mergeCell ref="A14:B14"/>
    <mergeCell ref="A15:B15"/>
    <mergeCell ref="A4:B4"/>
    <mergeCell ref="A5:B5"/>
    <mergeCell ref="A6:B6"/>
    <mergeCell ref="A7:B7"/>
    <mergeCell ref="A8:B8"/>
    <mergeCell ref="A9:B9"/>
    <mergeCell ref="A10:B10"/>
  </mergeCells>
  <pageMargins left="0.7" right="0.7" top="0.75" bottom="0.75" header="0.3" footer="0.3"/>
  <pageSetup orientation="portrait" r:id="rId1"/>
  <ignoredErrors>
    <ignoredError sqref="C9:C10"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9"/>
  <sheetViews>
    <sheetView topLeftCell="A12" workbookViewId="0">
      <selection activeCell="B24" sqref="B24"/>
    </sheetView>
  </sheetViews>
  <sheetFormatPr defaultRowHeight="15.75" x14ac:dyDescent="0.25"/>
  <cols>
    <col min="1" max="1" width="26.28515625" customWidth="1"/>
    <col min="2" max="3" width="11.28515625" customWidth="1"/>
    <col min="4" max="4" width="11.5703125" customWidth="1"/>
    <col min="5" max="5" width="11.28515625" customWidth="1"/>
    <col min="6" max="6" width="11" customWidth="1"/>
    <col min="7" max="7" width="11.28515625" customWidth="1"/>
    <col min="8" max="8" width="11.42578125" customWidth="1"/>
    <col min="9" max="9" width="11.28515625" customWidth="1"/>
    <col min="10" max="10" width="11.140625" customWidth="1"/>
    <col min="11" max="11" width="12.7109375" customWidth="1"/>
    <col min="12" max="13" width="12.28515625" customWidth="1"/>
    <col min="14" max="14" width="14.5703125" style="2" customWidth="1"/>
  </cols>
  <sheetData>
    <row r="1" spans="1:14" ht="47.25" x14ac:dyDescent="0.25">
      <c r="C1" s="81" t="s">
        <v>89</v>
      </c>
      <c r="D1" s="82"/>
      <c r="E1" s="83" t="s">
        <v>91</v>
      </c>
      <c r="F1" s="83"/>
      <c r="G1" s="56" t="s">
        <v>92</v>
      </c>
      <c r="H1" s="56" t="s">
        <v>93</v>
      </c>
      <c r="I1" s="83" t="s">
        <v>94</v>
      </c>
      <c r="J1" s="84"/>
      <c r="K1" s="69" t="s">
        <v>98</v>
      </c>
      <c r="L1" s="69"/>
      <c r="M1" s="69"/>
    </row>
    <row r="2" spans="1:14" x14ac:dyDescent="0.25">
      <c r="C2" s="73" t="s">
        <v>0</v>
      </c>
      <c r="D2" s="74"/>
      <c r="E2" s="57">
        <v>18</v>
      </c>
      <c r="F2" s="57"/>
      <c r="G2" s="57">
        <v>24</v>
      </c>
      <c r="H2" s="57">
        <v>5</v>
      </c>
      <c r="I2" s="75">
        <f>E2*H2*G2</f>
        <v>2160</v>
      </c>
      <c r="J2" s="76"/>
      <c r="K2" s="69"/>
      <c r="L2" s="69"/>
      <c r="M2" s="69"/>
    </row>
    <row r="3" spans="1:14" x14ac:dyDescent="0.25">
      <c r="C3" s="73" t="s">
        <v>90</v>
      </c>
      <c r="D3" s="74"/>
      <c r="E3" s="57">
        <v>6</v>
      </c>
      <c r="F3" s="57"/>
      <c r="G3" s="57">
        <v>24</v>
      </c>
      <c r="H3" s="57">
        <v>10</v>
      </c>
      <c r="I3" s="75">
        <f>E3*H3*G3</f>
        <v>1440</v>
      </c>
      <c r="J3" s="76"/>
      <c r="K3" s="69"/>
      <c r="L3" s="69"/>
      <c r="M3" s="69"/>
    </row>
    <row r="4" spans="1:14" x14ac:dyDescent="0.25">
      <c r="C4" s="73" t="s">
        <v>95</v>
      </c>
      <c r="D4" s="74"/>
      <c r="E4" s="57">
        <v>2</v>
      </c>
      <c r="F4" s="57"/>
      <c r="G4" s="57"/>
      <c r="H4" s="57">
        <v>700</v>
      </c>
      <c r="I4" s="75">
        <f>E4*H4</f>
        <v>1400</v>
      </c>
      <c r="J4" s="76"/>
      <c r="K4" s="2"/>
      <c r="L4" s="2"/>
      <c r="M4" s="2"/>
    </row>
    <row r="5" spans="1:14" x14ac:dyDescent="0.25">
      <c r="C5" s="58"/>
      <c r="D5" s="59"/>
      <c r="E5" s="57"/>
      <c r="F5" s="57"/>
      <c r="G5" s="57"/>
      <c r="H5" s="57"/>
      <c r="I5" s="75"/>
      <c r="J5" s="76"/>
      <c r="K5" s="2"/>
      <c r="L5" s="2"/>
      <c r="M5" s="2"/>
    </row>
    <row r="6" spans="1:14" ht="16.5" thickBot="1" x14ac:dyDescent="0.3">
      <c r="C6" s="77" t="s">
        <v>96</v>
      </c>
      <c r="D6" s="78"/>
      <c r="E6" s="78"/>
      <c r="F6" s="78"/>
      <c r="G6" s="78"/>
      <c r="H6" s="78"/>
      <c r="I6" s="78">
        <f>SUM(I2:J4)</f>
        <v>5000</v>
      </c>
      <c r="J6" s="79"/>
      <c r="K6" s="2"/>
      <c r="L6" s="2"/>
      <c r="M6" s="2"/>
    </row>
    <row r="10" spans="1:14" ht="19.5" thickBot="1" x14ac:dyDescent="0.35">
      <c r="A10" s="2"/>
      <c r="B10" s="19" t="s">
        <v>48</v>
      </c>
      <c r="C10" s="19" t="s">
        <v>49</v>
      </c>
      <c r="D10" s="19" t="s">
        <v>50</v>
      </c>
      <c r="E10" s="19" t="s">
        <v>51</v>
      </c>
      <c r="F10" s="19" t="s">
        <v>52</v>
      </c>
      <c r="G10" s="19" t="s">
        <v>53</v>
      </c>
      <c r="H10" s="19" t="s">
        <v>54</v>
      </c>
      <c r="I10" s="19" t="s">
        <v>55</v>
      </c>
      <c r="J10" s="19" t="s">
        <v>56</v>
      </c>
      <c r="K10" s="19" t="s">
        <v>57</v>
      </c>
      <c r="L10" s="19" t="s">
        <v>58</v>
      </c>
      <c r="M10" s="19" t="s">
        <v>59</v>
      </c>
      <c r="N10" s="20" t="s">
        <v>68</v>
      </c>
    </row>
    <row r="11" spans="1:14" ht="16.5" thickBot="1" x14ac:dyDescent="0.3">
      <c r="A11" s="8" t="s">
        <v>0</v>
      </c>
      <c r="B11" s="2"/>
      <c r="C11" s="2"/>
      <c r="D11" s="2"/>
      <c r="E11" s="2"/>
      <c r="F11" s="2"/>
      <c r="G11" s="2"/>
      <c r="H11" s="2"/>
      <c r="I11" s="2"/>
      <c r="J11" s="2"/>
      <c r="K11" s="2"/>
      <c r="L11" s="2"/>
      <c r="M11" s="2"/>
    </row>
    <row r="12" spans="1:14" ht="16.5" thickBot="1" x14ac:dyDescent="0.3">
      <c r="A12" s="7" t="s">
        <v>60</v>
      </c>
      <c r="B12" s="4">
        <f>SUM(I2:J4)</f>
        <v>5000</v>
      </c>
      <c r="C12" s="4">
        <f>B12*5%+B12</f>
        <v>5250</v>
      </c>
      <c r="D12" s="4">
        <f t="shared" ref="D12:M12" si="0">C12*5%+C12</f>
        <v>5512.5</v>
      </c>
      <c r="E12" s="4">
        <f t="shared" si="0"/>
        <v>5788.125</v>
      </c>
      <c r="F12" s="4">
        <f t="shared" si="0"/>
        <v>6077.53125</v>
      </c>
      <c r="G12" s="4">
        <f t="shared" si="0"/>
        <v>6381.4078124999996</v>
      </c>
      <c r="H12" s="4">
        <f t="shared" si="0"/>
        <v>6700.4782031249997</v>
      </c>
      <c r="I12" s="4">
        <f t="shared" si="0"/>
        <v>7035.5021132812499</v>
      </c>
      <c r="J12" s="4">
        <f t="shared" si="0"/>
        <v>7387.2772189453126</v>
      </c>
      <c r="K12" s="4">
        <f t="shared" si="0"/>
        <v>7756.6410798925781</v>
      </c>
      <c r="L12" s="4">
        <f t="shared" si="0"/>
        <v>8144.473133887207</v>
      </c>
      <c r="M12" s="4">
        <f t="shared" si="0"/>
        <v>8551.6967905815673</v>
      </c>
      <c r="N12" s="12">
        <f t="shared" ref="N12:N29" si="1">SUM(B12:M12)</f>
        <v>79585.632602212907</v>
      </c>
    </row>
    <row r="13" spans="1:14" ht="16.5" thickBot="1" x14ac:dyDescent="0.3">
      <c r="A13" s="7" t="s">
        <v>61</v>
      </c>
      <c r="B13" s="4">
        <v>2000</v>
      </c>
      <c r="C13" s="4">
        <f>B13*5%+B13</f>
        <v>2100</v>
      </c>
      <c r="D13" s="4">
        <f t="shared" ref="D13:M14" si="2">C13*5%+C13</f>
        <v>2205</v>
      </c>
      <c r="E13" s="4">
        <f t="shared" si="2"/>
        <v>2315.25</v>
      </c>
      <c r="F13" s="4">
        <f t="shared" si="2"/>
        <v>2431.0124999999998</v>
      </c>
      <c r="G13" s="4">
        <f t="shared" si="2"/>
        <v>2552.5631249999997</v>
      </c>
      <c r="H13" s="4">
        <f t="shared" si="2"/>
        <v>2680.1912812499995</v>
      </c>
      <c r="I13" s="4">
        <f t="shared" si="2"/>
        <v>2814.2008453124995</v>
      </c>
      <c r="J13" s="4">
        <f t="shared" si="2"/>
        <v>2954.9108875781244</v>
      </c>
      <c r="K13" s="4">
        <f t="shared" si="2"/>
        <v>3102.6564319570307</v>
      </c>
      <c r="L13" s="4">
        <f>K13*5%+K13</f>
        <v>3257.7892535548822</v>
      </c>
      <c r="M13" s="4">
        <f t="shared" si="2"/>
        <v>3420.6787162326264</v>
      </c>
      <c r="N13" s="12">
        <f t="shared" si="1"/>
        <v>31834.253040885164</v>
      </c>
    </row>
    <row r="14" spans="1:14" ht="16.5" thickBot="1" x14ac:dyDescent="0.3">
      <c r="A14" s="7" t="s">
        <v>46</v>
      </c>
      <c r="B14" s="18">
        <v>-3000</v>
      </c>
      <c r="C14" s="15">
        <f>B14*5%+B14</f>
        <v>-3150</v>
      </c>
      <c r="D14" s="15">
        <f t="shared" si="2"/>
        <v>-3307.5</v>
      </c>
      <c r="E14" s="15">
        <f t="shared" si="2"/>
        <v>-3472.875</v>
      </c>
      <c r="F14" s="15">
        <f t="shared" si="2"/>
        <v>-3646.5187500000002</v>
      </c>
      <c r="G14" s="15">
        <f t="shared" si="2"/>
        <v>-3828.8446875</v>
      </c>
      <c r="H14" s="15">
        <f t="shared" si="2"/>
        <v>-4020.2869218750002</v>
      </c>
      <c r="I14" s="15">
        <f t="shared" si="2"/>
        <v>-4221.3012679687499</v>
      </c>
      <c r="J14" s="15">
        <f t="shared" si="2"/>
        <v>-4432.3663313671877</v>
      </c>
      <c r="K14" s="15">
        <f t="shared" si="2"/>
        <v>-4653.9846479355474</v>
      </c>
      <c r="L14" s="15">
        <f>K14*5%+K14</f>
        <v>-4886.6838803323244</v>
      </c>
      <c r="M14" s="15">
        <f t="shared" si="2"/>
        <v>-5131.0180743489409</v>
      </c>
      <c r="N14" s="12">
        <f t="shared" si="1"/>
        <v>-47751.379561327754</v>
      </c>
    </row>
    <row r="15" spans="1:14" ht="16.5" thickBot="1" x14ac:dyDescent="0.3">
      <c r="A15" s="8" t="s">
        <v>1</v>
      </c>
      <c r="B15" s="12">
        <f>SUM(B12:B14)</f>
        <v>4000</v>
      </c>
      <c r="C15" s="12">
        <f t="shared" ref="C15:M15" si="3">SUM(C12:C14)</f>
        <v>4200</v>
      </c>
      <c r="D15" s="12">
        <f t="shared" si="3"/>
        <v>4410</v>
      </c>
      <c r="E15" s="12">
        <f t="shared" si="3"/>
        <v>4630.5</v>
      </c>
      <c r="F15" s="12">
        <f t="shared" si="3"/>
        <v>4862.0250000000005</v>
      </c>
      <c r="G15" s="12">
        <f t="shared" si="3"/>
        <v>5105.1262499999984</v>
      </c>
      <c r="H15" s="12">
        <f t="shared" si="3"/>
        <v>5360.382562499999</v>
      </c>
      <c r="I15" s="12">
        <f t="shared" si="3"/>
        <v>5628.401690624999</v>
      </c>
      <c r="J15" s="12">
        <f t="shared" si="3"/>
        <v>5909.8217751562497</v>
      </c>
      <c r="K15" s="12">
        <f t="shared" si="3"/>
        <v>6205.3128639140614</v>
      </c>
      <c r="L15" s="12">
        <f t="shared" si="3"/>
        <v>6515.5785071097653</v>
      </c>
      <c r="M15" s="12">
        <f t="shared" si="3"/>
        <v>6841.3574324652536</v>
      </c>
      <c r="N15" s="12">
        <f t="shared" si="1"/>
        <v>63668.50608177032</v>
      </c>
    </row>
    <row r="16" spans="1:14" ht="16.5" thickBot="1" x14ac:dyDescent="0.3">
      <c r="A16" s="7"/>
      <c r="B16" s="2"/>
      <c r="C16" s="2"/>
      <c r="D16" s="2"/>
      <c r="E16" s="2"/>
      <c r="F16" s="2"/>
      <c r="G16" s="2"/>
      <c r="H16" s="2"/>
      <c r="I16" s="2"/>
      <c r="J16" s="2"/>
      <c r="K16" s="2"/>
      <c r="L16" s="2"/>
      <c r="M16" s="2"/>
      <c r="N16" s="12">
        <f t="shared" si="1"/>
        <v>0</v>
      </c>
    </row>
    <row r="17" spans="1:14" ht="16.5" thickBot="1" x14ac:dyDescent="0.3">
      <c r="A17" s="13" t="s">
        <v>66</v>
      </c>
      <c r="B17" s="2"/>
      <c r="C17" s="2"/>
      <c r="D17" s="2"/>
      <c r="E17" s="2"/>
      <c r="F17" s="2"/>
      <c r="G17" s="2"/>
      <c r="H17" s="2"/>
      <c r="I17" s="2"/>
      <c r="J17" s="2"/>
      <c r="K17" s="2"/>
      <c r="L17" s="2"/>
      <c r="M17" s="2"/>
      <c r="N17" s="12">
        <f t="shared" si="1"/>
        <v>0</v>
      </c>
    </row>
    <row r="18" spans="1:14" ht="16.5" thickBot="1" x14ac:dyDescent="0.3">
      <c r="A18" s="7" t="s">
        <v>62</v>
      </c>
      <c r="B18" s="2">
        <v>250</v>
      </c>
      <c r="C18" s="4">
        <f>B18*5%+B18</f>
        <v>262.5</v>
      </c>
      <c r="D18" s="4">
        <f t="shared" ref="D18:M18" si="4">C18*5%+C18</f>
        <v>275.625</v>
      </c>
      <c r="E18" s="4">
        <f t="shared" si="4"/>
        <v>289.40625</v>
      </c>
      <c r="F18" s="4">
        <f t="shared" si="4"/>
        <v>303.87656249999998</v>
      </c>
      <c r="G18" s="4">
        <f t="shared" si="4"/>
        <v>319.07039062499996</v>
      </c>
      <c r="H18" s="4">
        <f t="shared" si="4"/>
        <v>335.02391015624994</v>
      </c>
      <c r="I18" s="4">
        <f t="shared" si="4"/>
        <v>351.77510566406244</v>
      </c>
      <c r="J18" s="4">
        <f t="shared" si="4"/>
        <v>369.36386094726555</v>
      </c>
      <c r="K18" s="4">
        <f t="shared" si="4"/>
        <v>387.83205399462884</v>
      </c>
      <c r="L18" s="4">
        <f t="shared" ref="L18:L25" si="5">K18*5%+K18</f>
        <v>407.22365669436027</v>
      </c>
      <c r="M18" s="4">
        <f t="shared" si="4"/>
        <v>427.58483952907829</v>
      </c>
      <c r="N18" s="12">
        <f t="shared" si="1"/>
        <v>3979.2816301106454</v>
      </c>
    </row>
    <row r="19" spans="1:14" ht="16.5" thickBot="1" x14ac:dyDescent="0.3">
      <c r="A19" s="7" t="s">
        <v>63</v>
      </c>
      <c r="B19" s="2">
        <v>160</v>
      </c>
      <c r="C19" s="4">
        <f t="shared" ref="C19:M25" si="6">B19*5%+B19</f>
        <v>168</v>
      </c>
      <c r="D19" s="4">
        <f t="shared" si="6"/>
        <v>176.4</v>
      </c>
      <c r="E19" s="4">
        <f t="shared" si="6"/>
        <v>185.22</v>
      </c>
      <c r="F19" s="4">
        <f t="shared" si="6"/>
        <v>194.48099999999999</v>
      </c>
      <c r="G19" s="4">
        <f t="shared" si="6"/>
        <v>204.20505</v>
      </c>
      <c r="H19" s="4">
        <f t="shared" si="6"/>
        <v>214.4153025</v>
      </c>
      <c r="I19" s="4">
        <f t="shared" si="6"/>
        <v>225.13606762500001</v>
      </c>
      <c r="J19" s="4">
        <f t="shared" si="6"/>
        <v>236.39287100625</v>
      </c>
      <c r="K19" s="4">
        <f t="shared" si="6"/>
        <v>248.2125145565625</v>
      </c>
      <c r="L19" s="4">
        <f t="shared" si="5"/>
        <v>260.62314028439062</v>
      </c>
      <c r="M19" s="4">
        <f t="shared" si="6"/>
        <v>273.65429729861012</v>
      </c>
      <c r="N19" s="12">
        <f t="shared" si="1"/>
        <v>2546.7402432708132</v>
      </c>
    </row>
    <row r="20" spans="1:14" ht="16.5" thickBot="1" x14ac:dyDescent="0.3">
      <c r="A20" s="7" t="s">
        <v>47</v>
      </c>
      <c r="B20" s="2">
        <v>250</v>
      </c>
      <c r="C20" s="4">
        <f t="shared" si="6"/>
        <v>262.5</v>
      </c>
      <c r="D20" s="4">
        <f t="shared" si="6"/>
        <v>275.625</v>
      </c>
      <c r="E20" s="4">
        <f t="shared" si="6"/>
        <v>289.40625</v>
      </c>
      <c r="F20" s="4">
        <f t="shared" si="6"/>
        <v>303.87656249999998</v>
      </c>
      <c r="G20" s="4">
        <f t="shared" si="6"/>
        <v>319.07039062499996</v>
      </c>
      <c r="H20" s="4">
        <f t="shared" si="6"/>
        <v>335.02391015624994</v>
      </c>
      <c r="I20" s="4">
        <f t="shared" si="6"/>
        <v>351.77510566406244</v>
      </c>
      <c r="J20" s="4">
        <f t="shared" si="6"/>
        <v>369.36386094726555</v>
      </c>
      <c r="K20" s="4">
        <f t="shared" si="6"/>
        <v>387.83205399462884</v>
      </c>
      <c r="L20" s="4">
        <f t="shared" si="5"/>
        <v>407.22365669436027</v>
      </c>
      <c r="M20" s="4">
        <f t="shared" si="6"/>
        <v>427.58483952907829</v>
      </c>
      <c r="N20" s="12">
        <f t="shared" si="1"/>
        <v>3979.2816301106454</v>
      </c>
    </row>
    <row r="21" spans="1:14" ht="16.5" thickBot="1" x14ac:dyDescent="0.3">
      <c r="A21" s="7" t="s">
        <v>64</v>
      </c>
      <c r="B21" s="2">
        <v>167</v>
      </c>
      <c r="C21" s="4">
        <f t="shared" si="6"/>
        <v>175.35</v>
      </c>
      <c r="D21" s="4">
        <f t="shared" si="6"/>
        <v>184.11750000000001</v>
      </c>
      <c r="E21" s="4">
        <f t="shared" si="6"/>
        <v>193.323375</v>
      </c>
      <c r="F21" s="4">
        <f t="shared" si="6"/>
        <v>202.98954375</v>
      </c>
      <c r="G21" s="4">
        <f t="shared" si="6"/>
        <v>213.13902093749999</v>
      </c>
      <c r="H21" s="4">
        <f t="shared" si="6"/>
        <v>223.795971984375</v>
      </c>
      <c r="I21" s="4">
        <f t="shared" si="6"/>
        <v>234.98577058359376</v>
      </c>
      <c r="J21" s="4">
        <f t="shared" si="6"/>
        <v>246.73505911277346</v>
      </c>
      <c r="K21" s="4">
        <f t="shared" si="6"/>
        <v>259.0718120684121</v>
      </c>
      <c r="L21" s="4">
        <f t="shared" si="5"/>
        <v>272.02540267183269</v>
      </c>
      <c r="M21" s="4">
        <f t="shared" si="6"/>
        <v>285.62667280542433</v>
      </c>
      <c r="N21" s="12">
        <f t="shared" si="1"/>
        <v>2658.1601289139112</v>
      </c>
    </row>
    <row r="22" spans="1:14" ht="16.5" thickBot="1" x14ac:dyDescent="0.3">
      <c r="A22" s="7" t="s">
        <v>65</v>
      </c>
      <c r="B22" s="2">
        <v>250</v>
      </c>
      <c r="C22" s="4">
        <f t="shared" si="6"/>
        <v>262.5</v>
      </c>
      <c r="D22" s="4">
        <f t="shared" si="6"/>
        <v>275.625</v>
      </c>
      <c r="E22" s="4">
        <f t="shared" si="6"/>
        <v>289.40625</v>
      </c>
      <c r="F22" s="4">
        <f t="shared" si="6"/>
        <v>303.87656249999998</v>
      </c>
      <c r="G22" s="4">
        <f t="shared" si="6"/>
        <v>319.07039062499996</v>
      </c>
      <c r="H22" s="4">
        <f t="shared" si="6"/>
        <v>335.02391015624994</v>
      </c>
      <c r="I22" s="4">
        <f t="shared" si="6"/>
        <v>351.77510566406244</v>
      </c>
      <c r="J22" s="4">
        <f t="shared" si="6"/>
        <v>369.36386094726555</v>
      </c>
      <c r="K22" s="4">
        <f t="shared" si="6"/>
        <v>387.83205399462884</v>
      </c>
      <c r="L22" s="4">
        <f t="shared" si="5"/>
        <v>407.22365669436027</v>
      </c>
      <c r="M22" s="4">
        <f t="shared" si="6"/>
        <v>427.58483952907829</v>
      </c>
      <c r="N22" s="12">
        <f t="shared" si="1"/>
        <v>3979.2816301106454</v>
      </c>
    </row>
    <row r="23" spans="1:14" ht="16.5" thickBot="1" x14ac:dyDescent="0.3">
      <c r="A23" s="7" t="s">
        <v>2</v>
      </c>
      <c r="B23" s="2">
        <v>120</v>
      </c>
      <c r="C23" s="4">
        <f t="shared" si="6"/>
        <v>126</v>
      </c>
      <c r="D23" s="4">
        <f t="shared" si="6"/>
        <v>132.30000000000001</v>
      </c>
      <c r="E23" s="4">
        <f t="shared" si="6"/>
        <v>138.91500000000002</v>
      </c>
      <c r="F23" s="4">
        <f t="shared" si="6"/>
        <v>145.86075000000002</v>
      </c>
      <c r="G23" s="4">
        <f t="shared" si="6"/>
        <v>153.15378750000002</v>
      </c>
      <c r="H23" s="4">
        <f t="shared" si="6"/>
        <v>160.81147687500001</v>
      </c>
      <c r="I23" s="4">
        <f t="shared" si="6"/>
        <v>168.85205071875001</v>
      </c>
      <c r="J23" s="4">
        <f t="shared" si="6"/>
        <v>177.29465325468752</v>
      </c>
      <c r="K23" s="4">
        <f t="shared" si="6"/>
        <v>186.1593859174219</v>
      </c>
      <c r="L23" s="4">
        <f t="shared" si="5"/>
        <v>195.46735521329299</v>
      </c>
      <c r="M23" s="4">
        <f t="shared" si="6"/>
        <v>205.24072297395765</v>
      </c>
      <c r="N23" s="12">
        <f t="shared" si="1"/>
        <v>1910.0551824531105</v>
      </c>
    </row>
    <row r="24" spans="1:14" ht="16.5" thickBot="1" x14ac:dyDescent="0.3">
      <c r="A24" s="7" t="s">
        <v>3</v>
      </c>
      <c r="B24" s="2">
        <v>120</v>
      </c>
      <c r="C24" s="4">
        <f t="shared" si="6"/>
        <v>126</v>
      </c>
      <c r="D24" s="4">
        <f t="shared" si="6"/>
        <v>132.30000000000001</v>
      </c>
      <c r="E24" s="4">
        <f t="shared" si="6"/>
        <v>138.91500000000002</v>
      </c>
      <c r="F24" s="4">
        <f t="shared" si="6"/>
        <v>145.86075000000002</v>
      </c>
      <c r="G24" s="4">
        <f t="shared" si="6"/>
        <v>153.15378750000002</v>
      </c>
      <c r="H24" s="4">
        <f t="shared" si="6"/>
        <v>160.81147687500001</v>
      </c>
      <c r="I24" s="4">
        <f t="shared" si="6"/>
        <v>168.85205071875001</v>
      </c>
      <c r="J24" s="4">
        <f t="shared" si="6"/>
        <v>177.29465325468752</v>
      </c>
      <c r="K24" s="4">
        <f t="shared" si="6"/>
        <v>186.1593859174219</v>
      </c>
      <c r="L24" s="4">
        <f t="shared" si="5"/>
        <v>195.46735521329299</v>
      </c>
      <c r="M24" s="4">
        <f t="shared" si="6"/>
        <v>205.24072297395765</v>
      </c>
      <c r="N24" s="12">
        <f t="shared" si="1"/>
        <v>1910.0551824531105</v>
      </c>
    </row>
    <row r="25" spans="1:14" ht="32.25" customHeight="1" thickBot="1" x14ac:dyDescent="0.3">
      <c r="A25" s="8" t="s">
        <v>4</v>
      </c>
      <c r="B25" s="16">
        <f>SUM(B18:B24)</f>
        <v>1317</v>
      </c>
      <c r="C25" s="17">
        <f t="shared" si="6"/>
        <v>1382.85</v>
      </c>
      <c r="D25" s="17">
        <f t="shared" si="6"/>
        <v>1451.9924999999998</v>
      </c>
      <c r="E25" s="17">
        <f t="shared" si="6"/>
        <v>1524.5921249999999</v>
      </c>
      <c r="F25" s="17">
        <f t="shared" si="6"/>
        <v>1600.8217312499999</v>
      </c>
      <c r="G25" s="17">
        <f t="shared" si="6"/>
        <v>1680.8628178124998</v>
      </c>
      <c r="H25" s="17">
        <f t="shared" si="6"/>
        <v>1764.9059587031247</v>
      </c>
      <c r="I25" s="17">
        <f t="shared" si="6"/>
        <v>1853.151256638281</v>
      </c>
      <c r="J25" s="17">
        <f t="shared" si="6"/>
        <v>1945.808819470195</v>
      </c>
      <c r="K25" s="17">
        <f t="shared" si="6"/>
        <v>2043.0992604437047</v>
      </c>
      <c r="L25" s="17">
        <f t="shared" si="5"/>
        <v>2145.2542234658899</v>
      </c>
      <c r="M25" s="17">
        <f t="shared" si="6"/>
        <v>2252.5169346391845</v>
      </c>
      <c r="N25" s="12">
        <f t="shared" si="1"/>
        <v>20962.855627422879</v>
      </c>
    </row>
    <row r="26" spans="1:14" ht="16.5" thickBot="1" x14ac:dyDescent="0.3">
      <c r="A26" s="2"/>
      <c r="B26" s="2"/>
      <c r="C26" s="2"/>
      <c r="D26" s="2"/>
      <c r="E26" s="2"/>
      <c r="F26" s="2"/>
      <c r="G26" s="2"/>
      <c r="H26" s="2"/>
      <c r="I26" s="2"/>
      <c r="J26" s="2"/>
      <c r="K26" s="2"/>
      <c r="L26" s="2"/>
      <c r="M26" s="2"/>
      <c r="N26" s="12">
        <f t="shared" si="1"/>
        <v>0</v>
      </c>
    </row>
    <row r="27" spans="1:14" ht="24" customHeight="1" thickBot="1" x14ac:dyDescent="0.3">
      <c r="A27" s="8" t="s">
        <v>67</v>
      </c>
      <c r="B27" s="12">
        <f>B15-B25</f>
        <v>2683</v>
      </c>
      <c r="C27" s="12">
        <f t="shared" ref="C27:M27" si="7">C15-C25</f>
        <v>2817.15</v>
      </c>
      <c r="D27" s="12">
        <f t="shared" si="7"/>
        <v>2958.0075000000002</v>
      </c>
      <c r="E27" s="12">
        <f t="shared" si="7"/>
        <v>3105.9078749999999</v>
      </c>
      <c r="F27" s="12">
        <f t="shared" si="7"/>
        <v>3261.2032687500005</v>
      </c>
      <c r="G27" s="12">
        <f t="shared" si="7"/>
        <v>3424.2634321874984</v>
      </c>
      <c r="H27" s="12">
        <f t="shared" si="7"/>
        <v>3595.4766037968743</v>
      </c>
      <c r="I27" s="12">
        <f t="shared" si="7"/>
        <v>3775.2504339867182</v>
      </c>
      <c r="J27" s="12">
        <f t="shared" si="7"/>
        <v>3964.0129556860547</v>
      </c>
      <c r="K27" s="12">
        <f t="shared" si="7"/>
        <v>4162.2136034703562</v>
      </c>
      <c r="L27" s="12">
        <f t="shared" si="7"/>
        <v>4370.3242836438749</v>
      </c>
      <c r="M27" s="12">
        <f t="shared" si="7"/>
        <v>4588.8404978260696</v>
      </c>
      <c r="N27" s="12">
        <f t="shared" si="1"/>
        <v>42705.650454347444</v>
      </c>
    </row>
    <row r="28" spans="1:14" ht="35.25" customHeight="1" thickBot="1" x14ac:dyDescent="0.3">
      <c r="A28" s="7" t="s">
        <v>100</v>
      </c>
      <c r="B28" s="14">
        <f>B27*15%</f>
        <v>402.45</v>
      </c>
      <c r="C28" s="15">
        <f t="shared" ref="C28:M28" si="8">C27*15%</f>
        <v>422.57249999999999</v>
      </c>
      <c r="D28" s="15">
        <f t="shared" si="8"/>
        <v>443.70112499999999</v>
      </c>
      <c r="E28" s="15">
        <f t="shared" si="8"/>
        <v>465.88618124999994</v>
      </c>
      <c r="F28" s="15">
        <f t="shared" si="8"/>
        <v>489.18049031250007</v>
      </c>
      <c r="G28" s="15">
        <f t="shared" si="8"/>
        <v>513.63951482812479</v>
      </c>
      <c r="H28" s="15">
        <f t="shared" si="8"/>
        <v>539.32149056953108</v>
      </c>
      <c r="I28" s="15">
        <f t="shared" si="8"/>
        <v>566.28756509800769</v>
      </c>
      <c r="J28" s="15">
        <f t="shared" si="8"/>
        <v>594.60194335290817</v>
      </c>
      <c r="K28" s="15">
        <f t="shared" si="8"/>
        <v>624.33204052055339</v>
      </c>
      <c r="L28" s="15">
        <f t="shared" si="8"/>
        <v>655.54864254658116</v>
      </c>
      <c r="M28" s="15">
        <f t="shared" si="8"/>
        <v>688.3260746739104</v>
      </c>
      <c r="N28" s="12">
        <f t="shared" si="1"/>
        <v>6405.8475681521168</v>
      </c>
    </row>
    <row r="29" spans="1:14" ht="16.5" thickBot="1" x14ac:dyDescent="0.3">
      <c r="A29" s="8" t="s">
        <v>5</v>
      </c>
      <c r="B29" s="12">
        <f>B27-B28</f>
        <v>2280.5500000000002</v>
      </c>
      <c r="C29" s="12">
        <f t="shared" ref="C29:M29" si="9">C27-C28</f>
        <v>2394.5775000000003</v>
      </c>
      <c r="D29" s="12">
        <f t="shared" si="9"/>
        <v>2514.3063750000001</v>
      </c>
      <c r="E29" s="12">
        <f t="shared" si="9"/>
        <v>2640.0216937499999</v>
      </c>
      <c r="F29" s="12">
        <f t="shared" si="9"/>
        <v>2772.0227784375002</v>
      </c>
      <c r="G29" s="12">
        <f t="shared" si="9"/>
        <v>2910.6239173593735</v>
      </c>
      <c r="H29" s="12">
        <f t="shared" si="9"/>
        <v>3056.1551132273435</v>
      </c>
      <c r="I29" s="12">
        <f t="shared" si="9"/>
        <v>3208.9628688887105</v>
      </c>
      <c r="J29" s="12">
        <f t="shared" si="9"/>
        <v>3369.4110123331466</v>
      </c>
      <c r="K29" s="12">
        <f t="shared" si="9"/>
        <v>3537.8815629498031</v>
      </c>
      <c r="L29" s="12">
        <f t="shared" si="9"/>
        <v>3714.7756410972938</v>
      </c>
      <c r="M29" s="12">
        <f t="shared" si="9"/>
        <v>3900.514423152159</v>
      </c>
      <c r="N29" s="12">
        <f t="shared" si="1"/>
        <v>36299.802886195328</v>
      </c>
    </row>
  </sheetData>
  <mergeCells count="13">
    <mergeCell ref="K1:M3"/>
    <mergeCell ref="E1:F1"/>
    <mergeCell ref="C2:D2"/>
    <mergeCell ref="C6:H6"/>
    <mergeCell ref="C1:D1"/>
    <mergeCell ref="I1:J1"/>
    <mergeCell ref="I6:J6"/>
    <mergeCell ref="I2:J2"/>
    <mergeCell ref="C3:D3"/>
    <mergeCell ref="I3:J3"/>
    <mergeCell ref="C4:D4"/>
    <mergeCell ref="I4:J4"/>
    <mergeCell ref="I5:J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17"/>
  <sheetViews>
    <sheetView workbookViewId="0">
      <selection activeCell="E9" sqref="E9"/>
    </sheetView>
  </sheetViews>
  <sheetFormatPr defaultRowHeight="15" x14ac:dyDescent="0.25"/>
  <cols>
    <col min="2" max="2" width="25.140625" customWidth="1"/>
    <col min="3" max="3" width="16.28515625" customWidth="1"/>
    <col min="4" max="4" width="33.7109375" customWidth="1"/>
    <col min="5" max="5" width="14.85546875" customWidth="1"/>
  </cols>
  <sheetData>
    <row r="1" spans="2:5" ht="15.75" thickBot="1" x14ac:dyDescent="0.3"/>
    <row r="2" spans="2:5" ht="21" thickBot="1" x14ac:dyDescent="0.3">
      <c r="B2" s="89" t="s">
        <v>6</v>
      </c>
      <c r="C2" s="90"/>
      <c r="D2" s="90"/>
      <c r="E2" s="91"/>
    </row>
    <row r="3" spans="2:5" ht="19.5" thickBot="1" x14ac:dyDescent="0.3">
      <c r="B3" s="34" t="s">
        <v>7</v>
      </c>
      <c r="C3" s="35" t="s">
        <v>99</v>
      </c>
      <c r="D3" s="34" t="s">
        <v>19</v>
      </c>
      <c r="E3" s="36" t="s">
        <v>99</v>
      </c>
    </row>
    <row r="4" spans="2:5" ht="16.5" thickBot="1" x14ac:dyDescent="0.3">
      <c r="B4" s="31"/>
      <c r="C4" s="24"/>
      <c r="D4" s="31"/>
      <c r="E4" s="30"/>
    </row>
    <row r="5" spans="2:5" ht="16.5" thickBot="1" x14ac:dyDescent="0.3">
      <c r="B5" s="29" t="s">
        <v>9</v>
      </c>
      <c r="C5" s="24"/>
      <c r="D5" s="29" t="s">
        <v>21</v>
      </c>
      <c r="E5" s="30"/>
    </row>
    <row r="6" spans="2:5" ht="16.5" thickBot="1" x14ac:dyDescent="0.3">
      <c r="B6" s="31" t="s">
        <v>10</v>
      </c>
      <c r="C6" s="25">
        <f>SUM('Balance sheet Year 1'!C6,2000)</f>
        <v>10000</v>
      </c>
      <c r="D6" s="31" t="s">
        <v>22</v>
      </c>
      <c r="E6" s="32">
        <f>SUM('Balance sheet Year 1'!E6+500)</f>
        <v>1700</v>
      </c>
    </row>
    <row r="7" spans="2:5" ht="16.5" thickBot="1" x14ac:dyDescent="0.3">
      <c r="B7" s="31" t="s">
        <v>11</v>
      </c>
      <c r="C7" s="25">
        <f>SUM('Balance sheet Year 1'!C7+850)</f>
        <v>5000</v>
      </c>
      <c r="D7" s="31" t="s">
        <v>23</v>
      </c>
      <c r="E7" s="32">
        <v>0</v>
      </c>
    </row>
    <row r="8" spans="2:5" ht="16.5" thickBot="1" x14ac:dyDescent="0.3">
      <c r="B8" s="31" t="s">
        <v>12</v>
      </c>
      <c r="C8" s="25">
        <f>SUM('Balance sheet Year 1'!C8+1600)</f>
        <v>13600</v>
      </c>
      <c r="D8" s="31" t="s">
        <v>24</v>
      </c>
      <c r="E8" s="32">
        <v>0</v>
      </c>
    </row>
    <row r="9" spans="2:5" ht="16.5" thickBot="1" x14ac:dyDescent="0.3">
      <c r="B9" s="31" t="s">
        <v>13</v>
      </c>
      <c r="C9" s="25">
        <f>SUM('Balance sheet Year 1'!C9,-1000)</f>
        <v>11000</v>
      </c>
      <c r="D9" s="29" t="s">
        <v>72</v>
      </c>
      <c r="E9" s="32">
        <f>SUM(E6:E8)</f>
        <v>1700</v>
      </c>
    </row>
    <row r="10" spans="2:5" ht="16.5" thickBot="1" x14ac:dyDescent="0.3">
      <c r="B10" s="29" t="s">
        <v>14</v>
      </c>
      <c r="C10" s="26">
        <f>SUM(C6:C9)</f>
        <v>39600</v>
      </c>
      <c r="D10" s="31"/>
      <c r="E10" s="30"/>
    </row>
    <row r="11" spans="2:5" ht="16.5" thickBot="1" x14ac:dyDescent="0.3">
      <c r="B11" s="31"/>
      <c r="C11" s="24"/>
      <c r="D11" s="29" t="s">
        <v>25</v>
      </c>
      <c r="E11" s="32">
        <f>SUM('Balance sheet Year 1'!E11,-3000)</f>
        <v>7000</v>
      </c>
    </row>
    <row r="12" spans="2:5" ht="16.5" thickBot="1" x14ac:dyDescent="0.3">
      <c r="B12" s="31" t="s">
        <v>15</v>
      </c>
      <c r="C12" s="24"/>
      <c r="D12" s="29" t="s">
        <v>26</v>
      </c>
      <c r="E12" s="32">
        <f>SUM(E9:E11)</f>
        <v>8700</v>
      </c>
    </row>
    <row r="13" spans="2:5" ht="16.5" thickBot="1" x14ac:dyDescent="0.3">
      <c r="B13" s="31" t="s">
        <v>70</v>
      </c>
      <c r="C13" s="25">
        <f>SUM('Balance sheet Year 1'!C13,2800)</f>
        <v>11800</v>
      </c>
      <c r="D13" s="31"/>
      <c r="E13" s="30"/>
    </row>
    <row r="14" spans="2:5" ht="16.5" thickBot="1" x14ac:dyDescent="0.3">
      <c r="B14" s="31" t="s">
        <v>15</v>
      </c>
      <c r="C14" s="25">
        <f>SUM('Balance sheet Year 1'!C14,4000)</f>
        <v>16000</v>
      </c>
      <c r="D14" s="31" t="s">
        <v>27</v>
      </c>
      <c r="E14" s="32">
        <f>SUM('Start Up Cost'!D15,'Start Up Cost'!D16)</f>
        <v>20000</v>
      </c>
    </row>
    <row r="15" spans="2:5" ht="16.5" thickBot="1" x14ac:dyDescent="0.3">
      <c r="B15" s="31" t="s">
        <v>16</v>
      </c>
      <c r="C15" s="25">
        <f>-C14*15%</f>
        <v>-2400</v>
      </c>
      <c r="D15" s="31" t="s">
        <v>28</v>
      </c>
      <c r="E15" s="37">
        <f>SUM('Income Statment Year 2'!B29,'Income Statment Year 2'!C29,'Income Statment Year 2'!D29,'Income Statment Year 2'!E29,'Income Statment Year 2'!F29,'Income Statment Year 2'!G29,'Income Statment Year 2'!H29,'Income Statment Year 2'!I29,'Income Statment Year 2'!J29,'Income Statment Year 2'!K29,'Income Statment Year 2'!L29,'Income Statment Year 2'!M29)</f>
        <v>36299.802886195328</v>
      </c>
    </row>
    <row r="16" spans="2:5" ht="16.5" thickBot="1" x14ac:dyDescent="0.3">
      <c r="B16" s="38" t="s">
        <v>17</v>
      </c>
      <c r="C16" s="39">
        <f>SUM(C13:C15)</f>
        <v>25400</v>
      </c>
      <c r="D16" s="38" t="s">
        <v>29</v>
      </c>
      <c r="E16" s="40">
        <f t="shared" ref="E16" si="0">SUM(E14:E15)</f>
        <v>56299.802886195328</v>
      </c>
    </row>
    <row r="17" spans="2:5" ht="38.25" thickBot="1" x14ac:dyDescent="0.3">
      <c r="B17" s="41" t="s">
        <v>18</v>
      </c>
      <c r="C17" s="42">
        <f t="shared" ref="C17" si="1">SUM(C10,C16)</f>
        <v>65000</v>
      </c>
      <c r="D17" s="41" t="s">
        <v>30</v>
      </c>
      <c r="E17" s="43">
        <f t="shared" ref="E17" si="2">E16+E12</f>
        <v>64999.802886195328</v>
      </c>
    </row>
  </sheetData>
  <mergeCells count="1">
    <mergeCell ref="B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1"/>
  <sheetViews>
    <sheetView workbookViewId="0">
      <selection activeCell="C4" sqref="C4:C21"/>
    </sheetView>
  </sheetViews>
  <sheetFormatPr defaultRowHeight="15" x14ac:dyDescent="0.25"/>
  <cols>
    <col min="2" max="2" width="31.28515625" customWidth="1"/>
    <col min="3" max="3" width="16" customWidth="1"/>
  </cols>
  <sheetData>
    <row r="1" spans="1:3" ht="18.75" x14ac:dyDescent="0.3">
      <c r="A1" s="94" t="s">
        <v>88</v>
      </c>
      <c r="B1" s="94"/>
      <c r="C1" s="94"/>
    </row>
    <row r="2" spans="1:3" ht="15.75" x14ac:dyDescent="0.25">
      <c r="A2" s="44" t="s">
        <v>73</v>
      </c>
      <c r="B2" s="44"/>
      <c r="C2" s="45" t="s">
        <v>99</v>
      </c>
    </row>
    <row r="3" spans="1:3" ht="15.75" x14ac:dyDescent="0.25">
      <c r="A3" s="95" t="s">
        <v>74</v>
      </c>
      <c r="B3" s="95"/>
      <c r="C3" s="47"/>
    </row>
    <row r="4" spans="1:3" ht="15.75" x14ac:dyDescent="0.25">
      <c r="A4" s="96" t="s">
        <v>75</v>
      </c>
      <c r="B4" s="96"/>
      <c r="C4" s="63">
        <f>SUM('Income Statment Year 2'!N12)</f>
        <v>79585.632602212907</v>
      </c>
    </row>
    <row r="5" spans="1:3" ht="15.75" x14ac:dyDescent="0.25">
      <c r="A5" s="96" t="s">
        <v>76</v>
      </c>
      <c r="B5" s="96"/>
      <c r="C5" s="61"/>
    </row>
    <row r="6" spans="1:3" ht="15.75" x14ac:dyDescent="0.25">
      <c r="A6" s="95" t="s">
        <v>77</v>
      </c>
      <c r="B6" s="95"/>
      <c r="C6" s="62"/>
    </row>
    <row r="7" spans="1:3" ht="15.75" x14ac:dyDescent="0.25">
      <c r="A7" s="95" t="s">
        <v>78</v>
      </c>
      <c r="B7" s="95"/>
      <c r="C7" s="63">
        <f>SUM(-'Balance sheet Year 2'!C8)</f>
        <v>-13600</v>
      </c>
    </row>
    <row r="8" spans="1:3" ht="15.75" x14ac:dyDescent="0.25">
      <c r="A8" s="95" t="s">
        <v>79</v>
      </c>
      <c r="B8" s="95"/>
      <c r="C8" s="61">
        <f>SUM(-'Income Statment Year 2'!N25)</f>
        <v>-20962.855627422879</v>
      </c>
    </row>
    <row r="9" spans="1:3" ht="15.75" x14ac:dyDescent="0.25">
      <c r="A9" s="95" t="s">
        <v>80</v>
      </c>
      <c r="B9" s="95"/>
      <c r="C9" s="61">
        <f>SUM(-'Income Statment Year 2'!N28)</f>
        <v>-6405.8475681521168</v>
      </c>
    </row>
    <row r="10" spans="1:3" ht="15.75" x14ac:dyDescent="0.25">
      <c r="A10" s="48" t="s">
        <v>81</v>
      </c>
      <c r="B10" s="48"/>
      <c r="C10" s="64">
        <f>SUM(C4:C9)</f>
        <v>38616.929406637915</v>
      </c>
    </row>
    <row r="11" spans="1:3" ht="15.75" x14ac:dyDescent="0.25">
      <c r="A11" s="54"/>
      <c r="B11" s="54"/>
      <c r="C11" s="62"/>
    </row>
    <row r="12" spans="1:3" ht="15.75" x14ac:dyDescent="0.25">
      <c r="A12" s="44" t="s">
        <v>82</v>
      </c>
      <c r="B12" s="44"/>
      <c r="C12" s="65"/>
    </row>
    <row r="13" spans="1:3" ht="15.75" x14ac:dyDescent="0.25">
      <c r="A13" s="95" t="s">
        <v>77</v>
      </c>
      <c r="B13" s="95"/>
      <c r="C13" s="62"/>
    </row>
    <row r="14" spans="1:3" ht="15.75" x14ac:dyDescent="0.25">
      <c r="A14" s="95" t="s">
        <v>87</v>
      </c>
      <c r="B14" s="95"/>
      <c r="C14" s="63">
        <f>SUM(-'Balance sheet Year 2'!C13)</f>
        <v>-11800</v>
      </c>
    </row>
    <row r="15" spans="1:3" ht="15.75" x14ac:dyDescent="0.25">
      <c r="A15" s="53" t="s">
        <v>83</v>
      </c>
      <c r="B15" s="53"/>
      <c r="C15" s="64">
        <f>SUM(C13:C14)</f>
        <v>-11800</v>
      </c>
    </row>
    <row r="16" spans="1:3" ht="15.75" x14ac:dyDescent="0.25">
      <c r="A16" s="52"/>
      <c r="B16" s="50"/>
      <c r="C16" s="62"/>
    </row>
    <row r="17" spans="1:3" ht="15.75" x14ac:dyDescent="0.25">
      <c r="A17" s="45" t="s">
        <v>84</v>
      </c>
      <c r="B17" s="45"/>
      <c r="C17" s="65"/>
    </row>
    <row r="18" spans="1:3" ht="15.75" x14ac:dyDescent="0.25">
      <c r="A18" s="95" t="s">
        <v>74</v>
      </c>
      <c r="B18" s="95"/>
      <c r="C18" s="62"/>
    </row>
    <row r="19" spans="1:3" ht="15.75" x14ac:dyDescent="0.25">
      <c r="A19" s="93" t="s">
        <v>85</v>
      </c>
      <c r="B19" s="93"/>
      <c r="C19" s="64">
        <f>SUM(C18:C18)</f>
        <v>0</v>
      </c>
    </row>
    <row r="20" spans="1:3" ht="15.75" x14ac:dyDescent="0.25">
      <c r="A20" s="54"/>
      <c r="B20" s="54"/>
      <c r="C20" s="62"/>
    </row>
    <row r="21" spans="1:3" ht="15.75" x14ac:dyDescent="0.25">
      <c r="A21" s="92" t="s">
        <v>86</v>
      </c>
      <c r="B21" s="92"/>
      <c r="C21" s="66">
        <f>C10+C15+C19</f>
        <v>26816.929406637915</v>
      </c>
    </row>
  </sheetData>
  <mergeCells count="13">
    <mergeCell ref="A21:B21"/>
    <mergeCell ref="A8:B8"/>
    <mergeCell ref="A9:B9"/>
    <mergeCell ref="A13:B13"/>
    <mergeCell ref="A14:B14"/>
    <mergeCell ref="A18:B18"/>
    <mergeCell ref="A19:B19"/>
    <mergeCell ref="A7:B7"/>
    <mergeCell ref="A1:C1"/>
    <mergeCell ref="A3:B3"/>
    <mergeCell ref="A4:B4"/>
    <mergeCell ref="A5:B5"/>
    <mergeCell ref="A6:B6"/>
  </mergeCells>
  <pageMargins left="0.7" right="0.7" top="0.75" bottom="0.75" header="0.3" footer="0.3"/>
  <pageSetup orientation="portrait" r:id="rId1"/>
  <ignoredErrors>
    <ignoredError sqref="C8:C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0"/>
  <sheetViews>
    <sheetView topLeftCell="A15" workbookViewId="0">
      <selection activeCell="D30" sqref="D30"/>
    </sheetView>
  </sheetViews>
  <sheetFormatPr defaultRowHeight="15" x14ac:dyDescent="0.25"/>
  <cols>
    <col min="1" max="1" width="30.28515625" customWidth="1"/>
    <col min="2" max="2" width="11" customWidth="1"/>
    <col min="3" max="3" width="11.140625" customWidth="1"/>
    <col min="4" max="4" width="10.7109375" customWidth="1"/>
    <col min="5" max="5" width="11.28515625" customWidth="1"/>
    <col min="6" max="8" width="11" customWidth="1"/>
    <col min="9" max="9" width="11.5703125" customWidth="1"/>
    <col min="10" max="10" width="11" customWidth="1"/>
    <col min="11" max="12" width="11.7109375" customWidth="1"/>
    <col min="13" max="13" width="12.140625" customWidth="1"/>
    <col min="14" max="14" width="15.42578125" customWidth="1"/>
  </cols>
  <sheetData>
    <row r="1" spans="1:14" ht="15.75" thickBot="1" x14ac:dyDescent="0.3"/>
    <row r="2" spans="1:14" ht="47.25" x14ac:dyDescent="0.25">
      <c r="B2" s="81" t="s">
        <v>89</v>
      </c>
      <c r="C2" s="82"/>
      <c r="D2" s="83" t="s">
        <v>91</v>
      </c>
      <c r="E2" s="83"/>
      <c r="F2" s="56" t="s">
        <v>92</v>
      </c>
      <c r="G2" s="56" t="s">
        <v>93</v>
      </c>
      <c r="H2" s="83" t="s">
        <v>94</v>
      </c>
      <c r="I2" s="84"/>
      <c r="J2" s="69" t="s">
        <v>98</v>
      </c>
      <c r="K2" s="69"/>
      <c r="L2" s="69"/>
    </row>
    <row r="3" spans="1:14" ht="15.75" x14ac:dyDescent="0.25">
      <c r="B3" s="73" t="s">
        <v>0</v>
      </c>
      <c r="C3" s="74"/>
      <c r="D3" s="57">
        <v>18</v>
      </c>
      <c r="E3" s="57"/>
      <c r="F3" s="57">
        <v>24</v>
      </c>
      <c r="G3" s="57">
        <v>5</v>
      </c>
      <c r="H3" s="75">
        <f>D3*G3*F3</f>
        <v>2160</v>
      </c>
      <c r="I3" s="76"/>
      <c r="J3" s="69"/>
      <c r="K3" s="69"/>
      <c r="L3" s="69"/>
    </row>
    <row r="4" spans="1:14" ht="15.75" x14ac:dyDescent="0.25">
      <c r="B4" s="73" t="s">
        <v>90</v>
      </c>
      <c r="C4" s="74"/>
      <c r="D4" s="57">
        <v>10</v>
      </c>
      <c r="E4" s="57"/>
      <c r="F4" s="57">
        <v>24</v>
      </c>
      <c r="G4" s="57">
        <v>10</v>
      </c>
      <c r="H4" s="75">
        <f>D4*G4*F4</f>
        <v>2400</v>
      </c>
      <c r="I4" s="76"/>
      <c r="J4" s="69"/>
      <c r="K4" s="69"/>
      <c r="L4" s="69"/>
    </row>
    <row r="5" spans="1:14" ht="15.75" x14ac:dyDescent="0.25">
      <c r="B5" s="73" t="s">
        <v>95</v>
      </c>
      <c r="C5" s="74"/>
      <c r="D5" s="57">
        <v>2</v>
      </c>
      <c r="E5" s="57"/>
      <c r="F5" s="57"/>
      <c r="G5" s="57">
        <v>720</v>
      </c>
      <c r="H5" s="75">
        <f>D5*G5</f>
        <v>1440</v>
      </c>
      <c r="I5" s="76"/>
      <c r="J5" s="2"/>
      <c r="K5" s="2"/>
      <c r="L5" s="2"/>
    </row>
    <row r="6" spans="1:14" ht="15.75" x14ac:dyDescent="0.25">
      <c r="B6" s="58"/>
      <c r="C6" s="59"/>
      <c r="D6" s="57"/>
      <c r="E6" s="57"/>
      <c r="F6" s="57"/>
      <c r="G6" s="57"/>
      <c r="H6" s="75"/>
      <c r="I6" s="76"/>
      <c r="J6" s="2"/>
      <c r="K6" s="2"/>
      <c r="L6" s="2"/>
    </row>
    <row r="7" spans="1:14" ht="16.5" thickBot="1" x14ac:dyDescent="0.3">
      <c r="B7" s="77" t="s">
        <v>96</v>
      </c>
      <c r="C7" s="78"/>
      <c r="D7" s="78"/>
      <c r="E7" s="78"/>
      <c r="F7" s="78"/>
      <c r="G7" s="78"/>
      <c r="H7" s="78">
        <f>SUM(H3:I5)</f>
        <v>6000</v>
      </c>
      <c r="I7" s="79"/>
      <c r="J7" s="2"/>
      <c r="K7" s="2"/>
      <c r="L7" s="2"/>
    </row>
    <row r="11" spans="1:14" s="21" customFormat="1" ht="19.5" thickBot="1" x14ac:dyDescent="0.35">
      <c r="A11" s="19"/>
      <c r="B11" s="19" t="s">
        <v>48</v>
      </c>
      <c r="C11" s="19" t="s">
        <v>49</v>
      </c>
      <c r="D11" s="19" t="s">
        <v>50</v>
      </c>
      <c r="E11" s="19" t="s">
        <v>51</v>
      </c>
      <c r="F11" s="19" t="s">
        <v>52</v>
      </c>
      <c r="G11" s="19" t="s">
        <v>53</v>
      </c>
      <c r="H11" s="19" t="s">
        <v>54</v>
      </c>
      <c r="I11" s="19" t="s">
        <v>55</v>
      </c>
      <c r="J11" s="19" t="s">
        <v>56</v>
      </c>
      <c r="K11" s="19" t="s">
        <v>57</v>
      </c>
      <c r="L11" s="19" t="s">
        <v>58</v>
      </c>
      <c r="M11" s="19" t="s">
        <v>59</v>
      </c>
      <c r="N11" s="20" t="s">
        <v>68</v>
      </c>
    </row>
    <row r="12" spans="1:14" ht="16.5" thickBot="1" x14ac:dyDescent="0.3">
      <c r="A12" s="8" t="s">
        <v>0</v>
      </c>
      <c r="B12" s="2"/>
      <c r="C12" s="2"/>
      <c r="D12" s="2"/>
      <c r="E12" s="2"/>
      <c r="F12" s="2"/>
      <c r="G12" s="2"/>
      <c r="H12" s="2"/>
      <c r="I12" s="2"/>
      <c r="J12" s="2"/>
      <c r="K12" s="2"/>
      <c r="L12" s="2"/>
      <c r="M12" s="2"/>
      <c r="N12" s="2"/>
    </row>
    <row r="13" spans="1:14" ht="32.25" thickBot="1" x14ac:dyDescent="0.3">
      <c r="A13" s="7" t="s">
        <v>60</v>
      </c>
      <c r="B13" s="4">
        <f>SUM(H3:I5)</f>
        <v>6000</v>
      </c>
      <c r="C13" s="4">
        <f>B13*5%+B13</f>
        <v>6300</v>
      </c>
      <c r="D13" s="4">
        <f t="shared" ref="D13:M15" si="0">C13*5%+C13</f>
        <v>6615</v>
      </c>
      <c r="E13" s="4">
        <f t="shared" si="0"/>
        <v>6945.75</v>
      </c>
      <c r="F13" s="4">
        <f t="shared" si="0"/>
        <v>7293.0375000000004</v>
      </c>
      <c r="G13" s="4">
        <f t="shared" si="0"/>
        <v>7657.6893749999999</v>
      </c>
      <c r="H13" s="4">
        <f t="shared" si="0"/>
        <v>8040.5738437500004</v>
      </c>
      <c r="I13" s="4">
        <f t="shared" si="0"/>
        <v>8442.6025359374999</v>
      </c>
      <c r="J13" s="4">
        <f t="shared" si="0"/>
        <v>8864.7326627343755</v>
      </c>
      <c r="K13" s="4">
        <f t="shared" si="0"/>
        <v>9307.9692958710948</v>
      </c>
      <c r="L13" s="4">
        <f t="shared" si="0"/>
        <v>9773.3677606646488</v>
      </c>
      <c r="M13" s="4">
        <f t="shared" si="0"/>
        <v>10262.036148697882</v>
      </c>
      <c r="N13" s="12">
        <f>SUM(B13:M13)</f>
        <v>95502.759122655509</v>
      </c>
    </row>
    <row r="14" spans="1:14" ht="32.25" thickBot="1" x14ac:dyDescent="0.3">
      <c r="A14" s="7" t="s">
        <v>61</v>
      </c>
      <c r="B14" s="4">
        <v>3500</v>
      </c>
      <c r="C14" s="4">
        <f>B14*5%+B14</f>
        <v>3675</v>
      </c>
      <c r="D14" s="4">
        <f t="shared" si="0"/>
        <v>3858.75</v>
      </c>
      <c r="E14" s="4">
        <f t="shared" si="0"/>
        <v>4051.6875</v>
      </c>
      <c r="F14" s="4">
        <f t="shared" si="0"/>
        <v>4254.2718750000004</v>
      </c>
      <c r="G14" s="4">
        <f t="shared" si="0"/>
        <v>4466.9854687500001</v>
      </c>
      <c r="H14" s="4">
        <f t="shared" si="0"/>
        <v>4690.3347421875005</v>
      </c>
      <c r="I14" s="4">
        <f t="shared" si="0"/>
        <v>4924.8514792968754</v>
      </c>
      <c r="J14" s="4">
        <f t="shared" si="0"/>
        <v>5171.0940532617187</v>
      </c>
      <c r="K14" s="4">
        <f t="shared" si="0"/>
        <v>5429.6487559248044</v>
      </c>
      <c r="L14" s="4">
        <f t="shared" si="0"/>
        <v>5701.1311937210448</v>
      </c>
      <c r="M14" s="4">
        <f t="shared" si="0"/>
        <v>5986.1877534070973</v>
      </c>
      <c r="N14" s="12">
        <f t="shared" ref="N14:N30" si="1">SUM(B14:M14)</f>
        <v>55709.942821549033</v>
      </c>
    </row>
    <row r="15" spans="1:14" ht="32.25" thickBot="1" x14ac:dyDescent="0.3">
      <c r="A15" s="7" t="s">
        <v>46</v>
      </c>
      <c r="B15" s="18">
        <v>-4000</v>
      </c>
      <c r="C15" s="15">
        <f>B15*5%+B15</f>
        <v>-4200</v>
      </c>
      <c r="D15" s="15">
        <f t="shared" si="0"/>
        <v>-4410</v>
      </c>
      <c r="E15" s="15">
        <f t="shared" si="0"/>
        <v>-4630.5</v>
      </c>
      <c r="F15" s="15">
        <f t="shared" si="0"/>
        <v>-4862.0249999999996</v>
      </c>
      <c r="G15" s="15">
        <f t="shared" si="0"/>
        <v>-5105.1262499999993</v>
      </c>
      <c r="H15" s="15">
        <f t="shared" si="0"/>
        <v>-5360.382562499999</v>
      </c>
      <c r="I15" s="15">
        <f t="shared" si="0"/>
        <v>-5628.401690624999</v>
      </c>
      <c r="J15" s="15">
        <f t="shared" si="0"/>
        <v>-5909.8217751562488</v>
      </c>
      <c r="K15" s="15">
        <f t="shared" si="0"/>
        <v>-6205.3128639140614</v>
      </c>
      <c r="L15" s="15">
        <f t="shared" si="0"/>
        <v>-6515.5785071097644</v>
      </c>
      <c r="M15" s="15">
        <f t="shared" si="0"/>
        <v>-6841.3574324652527</v>
      </c>
      <c r="N15" s="12">
        <f t="shared" si="1"/>
        <v>-63668.506081770327</v>
      </c>
    </row>
    <row r="16" spans="1:14" ht="32.25" thickBot="1" x14ac:dyDescent="0.3">
      <c r="A16" s="8" t="s">
        <v>1</v>
      </c>
      <c r="B16" s="12">
        <f>SUM(B13:B15)</f>
        <v>5500</v>
      </c>
      <c r="C16" s="12">
        <f t="shared" ref="C16:M16" si="2">SUM(C13:C15)</f>
        <v>5775</v>
      </c>
      <c r="D16" s="12">
        <f t="shared" si="2"/>
        <v>6063.75</v>
      </c>
      <c r="E16" s="12">
        <f t="shared" si="2"/>
        <v>6366.9375</v>
      </c>
      <c r="F16" s="12">
        <f t="shared" si="2"/>
        <v>6685.2843750000011</v>
      </c>
      <c r="G16" s="12">
        <f t="shared" si="2"/>
        <v>7019.5485937499998</v>
      </c>
      <c r="H16" s="12">
        <f t="shared" si="2"/>
        <v>7370.5260234375019</v>
      </c>
      <c r="I16" s="12">
        <f t="shared" si="2"/>
        <v>7739.0523246093771</v>
      </c>
      <c r="J16" s="12">
        <f t="shared" si="2"/>
        <v>8126.0049408398454</v>
      </c>
      <c r="K16" s="12">
        <f t="shared" si="2"/>
        <v>8532.3051878818387</v>
      </c>
      <c r="L16" s="12">
        <f t="shared" si="2"/>
        <v>8958.9204472759302</v>
      </c>
      <c r="M16" s="12">
        <f t="shared" si="2"/>
        <v>9406.8664696397263</v>
      </c>
      <c r="N16" s="12">
        <f t="shared" si="1"/>
        <v>87544.195862434237</v>
      </c>
    </row>
    <row r="17" spans="1:14" ht="16.5" thickBot="1" x14ac:dyDescent="0.3">
      <c r="A17" s="7"/>
      <c r="B17" s="2"/>
      <c r="C17" s="2"/>
      <c r="D17" s="2"/>
      <c r="E17" s="2"/>
      <c r="F17" s="2"/>
      <c r="G17" s="2"/>
      <c r="H17" s="2"/>
      <c r="I17" s="2"/>
      <c r="J17" s="2"/>
      <c r="K17" s="2"/>
      <c r="L17" s="2"/>
      <c r="M17" s="2"/>
      <c r="N17" s="12"/>
    </row>
    <row r="18" spans="1:14" ht="16.5" thickBot="1" x14ac:dyDescent="0.3">
      <c r="A18" s="13" t="s">
        <v>66</v>
      </c>
      <c r="B18" s="2"/>
      <c r="C18" s="2"/>
      <c r="D18" s="2"/>
      <c r="E18" s="2"/>
      <c r="F18" s="2"/>
      <c r="G18" s="2"/>
      <c r="H18" s="2"/>
      <c r="I18" s="2"/>
      <c r="J18" s="2"/>
      <c r="K18" s="2"/>
      <c r="L18" s="2"/>
      <c r="M18" s="2"/>
      <c r="N18" s="12"/>
    </row>
    <row r="19" spans="1:14" ht="16.5" thickBot="1" x14ac:dyDescent="0.3">
      <c r="A19" s="7" t="s">
        <v>62</v>
      </c>
      <c r="B19" s="2">
        <v>350</v>
      </c>
      <c r="C19" s="4">
        <f>B19*5%+B19</f>
        <v>367.5</v>
      </c>
      <c r="D19" s="4">
        <f t="shared" ref="D19:M19" si="3">C19*5%+C19</f>
        <v>385.875</v>
      </c>
      <c r="E19" s="4">
        <f t="shared" si="3"/>
        <v>405.16874999999999</v>
      </c>
      <c r="F19" s="4">
        <f t="shared" si="3"/>
        <v>425.4271875</v>
      </c>
      <c r="G19" s="4">
        <f t="shared" si="3"/>
        <v>446.69854687500003</v>
      </c>
      <c r="H19" s="4">
        <f t="shared" si="3"/>
        <v>469.03347421875003</v>
      </c>
      <c r="I19" s="4">
        <f t="shared" si="3"/>
        <v>492.48514792968751</v>
      </c>
      <c r="J19" s="4">
        <f t="shared" si="3"/>
        <v>517.1094053261719</v>
      </c>
      <c r="K19" s="4">
        <f t="shared" si="3"/>
        <v>542.96487559248044</v>
      </c>
      <c r="L19" s="4">
        <f t="shared" si="3"/>
        <v>570.11311937210451</v>
      </c>
      <c r="M19" s="4">
        <f t="shared" si="3"/>
        <v>598.6187753407097</v>
      </c>
      <c r="N19" s="12">
        <f t="shared" si="1"/>
        <v>5570.9942821549039</v>
      </c>
    </row>
    <row r="20" spans="1:14" ht="16.5" customHeight="1" thickBot="1" x14ac:dyDescent="0.3">
      <c r="A20" s="7" t="s">
        <v>63</v>
      </c>
      <c r="B20" s="2">
        <v>200</v>
      </c>
      <c r="C20" s="4">
        <f t="shared" ref="C20:M26" si="4">B20*5%+B20</f>
        <v>210</v>
      </c>
      <c r="D20" s="4">
        <f t="shared" si="4"/>
        <v>220.5</v>
      </c>
      <c r="E20" s="4">
        <f t="shared" si="4"/>
        <v>231.52500000000001</v>
      </c>
      <c r="F20" s="4">
        <f t="shared" si="4"/>
        <v>243.10124999999999</v>
      </c>
      <c r="G20" s="4">
        <f t="shared" si="4"/>
        <v>255.25631249999998</v>
      </c>
      <c r="H20" s="4">
        <f t="shared" si="4"/>
        <v>268.01912812499995</v>
      </c>
      <c r="I20" s="4">
        <f t="shared" si="4"/>
        <v>281.42008453124993</v>
      </c>
      <c r="J20" s="4">
        <f t="shared" si="4"/>
        <v>295.49108875781241</v>
      </c>
      <c r="K20" s="4">
        <f t="shared" si="4"/>
        <v>310.26564319570303</v>
      </c>
      <c r="L20" s="4">
        <f t="shared" si="4"/>
        <v>325.77892535548818</v>
      </c>
      <c r="M20" s="4">
        <f t="shared" si="4"/>
        <v>342.06787162326259</v>
      </c>
      <c r="N20" s="12">
        <f t="shared" si="1"/>
        <v>3183.425304088516</v>
      </c>
    </row>
    <row r="21" spans="1:14" ht="18" customHeight="1" thickBot="1" x14ac:dyDescent="0.3">
      <c r="A21" s="7" t="s">
        <v>47</v>
      </c>
      <c r="B21" s="2">
        <v>270</v>
      </c>
      <c r="C21" s="4">
        <f t="shared" si="4"/>
        <v>283.5</v>
      </c>
      <c r="D21" s="4">
        <f t="shared" si="4"/>
        <v>297.67500000000001</v>
      </c>
      <c r="E21" s="4">
        <f t="shared" si="4"/>
        <v>312.55875000000003</v>
      </c>
      <c r="F21" s="4">
        <f t="shared" si="4"/>
        <v>328.18668750000006</v>
      </c>
      <c r="G21" s="4">
        <f t="shared" si="4"/>
        <v>344.59602187500008</v>
      </c>
      <c r="H21" s="4">
        <f t="shared" si="4"/>
        <v>361.82582296875006</v>
      </c>
      <c r="I21" s="4">
        <f t="shared" si="4"/>
        <v>379.91711411718757</v>
      </c>
      <c r="J21" s="4">
        <f t="shared" si="4"/>
        <v>398.91296982304692</v>
      </c>
      <c r="K21" s="4">
        <f t="shared" si="4"/>
        <v>418.85861831419925</v>
      </c>
      <c r="L21" s="4">
        <f t="shared" si="4"/>
        <v>439.8015492299092</v>
      </c>
      <c r="M21" s="4">
        <f t="shared" si="4"/>
        <v>461.79162669140464</v>
      </c>
      <c r="N21" s="12">
        <f t="shared" si="1"/>
        <v>4297.6241605194973</v>
      </c>
    </row>
    <row r="22" spans="1:14" ht="17.25" customHeight="1" thickBot="1" x14ac:dyDescent="0.3">
      <c r="A22" s="7" t="s">
        <v>64</v>
      </c>
      <c r="B22" s="2">
        <v>200</v>
      </c>
      <c r="C22" s="4">
        <f t="shared" si="4"/>
        <v>210</v>
      </c>
      <c r="D22" s="4">
        <f t="shared" si="4"/>
        <v>220.5</v>
      </c>
      <c r="E22" s="4">
        <f t="shared" si="4"/>
        <v>231.52500000000001</v>
      </c>
      <c r="F22" s="4">
        <f t="shared" si="4"/>
        <v>243.10124999999999</v>
      </c>
      <c r="G22" s="4">
        <f t="shared" si="4"/>
        <v>255.25631249999998</v>
      </c>
      <c r="H22" s="4">
        <f t="shared" si="4"/>
        <v>268.01912812499995</v>
      </c>
      <c r="I22" s="4">
        <f t="shared" si="4"/>
        <v>281.42008453124993</v>
      </c>
      <c r="J22" s="4">
        <f t="shared" si="4"/>
        <v>295.49108875781241</v>
      </c>
      <c r="K22" s="4">
        <f t="shared" si="4"/>
        <v>310.26564319570303</v>
      </c>
      <c r="L22" s="4">
        <f t="shared" si="4"/>
        <v>325.77892535548818</v>
      </c>
      <c r="M22" s="4">
        <f t="shared" si="4"/>
        <v>342.06787162326259</v>
      </c>
      <c r="N22" s="12">
        <f t="shared" si="1"/>
        <v>3183.425304088516</v>
      </c>
    </row>
    <row r="23" spans="1:14" ht="16.5" thickBot="1" x14ac:dyDescent="0.3">
      <c r="A23" s="7" t="s">
        <v>65</v>
      </c>
      <c r="B23" s="2">
        <v>250</v>
      </c>
      <c r="C23" s="4">
        <f t="shared" si="4"/>
        <v>262.5</v>
      </c>
      <c r="D23" s="4">
        <f t="shared" si="4"/>
        <v>275.625</v>
      </c>
      <c r="E23" s="4">
        <f t="shared" si="4"/>
        <v>289.40625</v>
      </c>
      <c r="F23" s="4">
        <f t="shared" si="4"/>
        <v>303.87656249999998</v>
      </c>
      <c r="G23" s="4">
        <f t="shared" si="4"/>
        <v>319.07039062499996</v>
      </c>
      <c r="H23" s="4">
        <f t="shared" si="4"/>
        <v>335.02391015624994</v>
      </c>
      <c r="I23" s="4">
        <f t="shared" si="4"/>
        <v>351.77510566406244</v>
      </c>
      <c r="J23" s="4">
        <f t="shared" si="4"/>
        <v>369.36386094726555</v>
      </c>
      <c r="K23" s="4">
        <f t="shared" si="4"/>
        <v>387.83205399462884</v>
      </c>
      <c r="L23" s="4">
        <f t="shared" si="4"/>
        <v>407.22365669436027</v>
      </c>
      <c r="M23" s="4">
        <f t="shared" si="4"/>
        <v>427.58483952907829</v>
      </c>
      <c r="N23" s="12">
        <f t="shared" si="1"/>
        <v>3979.2816301106454</v>
      </c>
    </row>
    <row r="24" spans="1:14" ht="18.75" customHeight="1" thickBot="1" x14ac:dyDescent="0.3">
      <c r="A24" s="7" t="s">
        <v>2</v>
      </c>
      <c r="B24" s="2">
        <v>166</v>
      </c>
      <c r="C24" s="4">
        <f t="shared" si="4"/>
        <v>174.3</v>
      </c>
      <c r="D24" s="4">
        <f t="shared" si="4"/>
        <v>183.01500000000001</v>
      </c>
      <c r="E24" s="4">
        <f t="shared" si="4"/>
        <v>192.16575</v>
      </c>
      <c r="F24" s="4">
        <f t="shared" si="4"/>
        <v>201.77403749999999</v>
      </c>
      <c r="G24" s="4">
        <f t="shared" si="4"/>
        <v>211.86273937499999</v>
      </c>
      <c r="H24" s="4">
        <f t="shared" si="4"/>
        <v>222.45587634374999</v>
      </c>
      <c r="I24" s="4">
        <f t="shared" si="4"/>
        <v>233.57867016093749</v>
      </c>
      <c r="J24" s="4">
        <f t="shared" si="4"/>
        <v>245.25760366898436</v>
      </c>
      <c r="K24" s="4">
        <f t="shared" si="4"/>
        <v>257.52048385243359</v>
      </c>
      <c r="L24" s="4">
        <f t="shared" si="4"/>
        <v>270.39650804505527</v>
      </c>
      <c r="M24" s="4">
        <f t="shared" si="4"/>
        <v>283.91633344730803</v>
      </c>
      <c r="N24" s="12">
        <f t="shared" si="1"/>
        <v>2642.2430023934685</v>
      </c>
    </row>
    <row r="25" spans="1:14" ht="21" customHeight="1" thickBot="1" x14ac:dyDescent="0.3">
      <c r="A25" s="7" t="s">
        <v>3</v>
      </c>
      <c r="B25" s="2">
        <v>120</v>
      </c>
      <c r="C25" s="4">
        <f t="shared" si="4"/>
        <v>126</v>
      </c>
      <c r="D25" s="4">
        <f t="shared" si="4"/>
        <v>132.30000000000001</v>
      </c>
      <c r="E25" s="4">
        <f t="shared" si="4"/>
        <v>138.91500000000002</v>
      </c>
      <c r="F25" s="4">
        <f t="shared" si="4"/>
        <v>145.86075000000002</v>
      </c>
      <c r="G25" s="4">
        <f t="shared" si="4"/>
        <v>153.15378750000002</v>
      </c>
      <c r="H25" s="4">
        <f t="shared" si="4"/>
        <v>160.81147687500001</v>
      </c>
      <c r="I25" s="4">
        <f t="shared" si="4"/>
        <v>168.85205071875001</v>
      </c>
      <c r="J25" s="4">
        <f t="shared" si="4"/>
        <v>177.29465325468752</v>
      </c>
      <c r="K25" s="4">
        <f t="shared" si="4"/>
        <v>186.1593859174219</v>
      </c>
      <c r="L25" s="4">
        <f t="shared" si="4"/>
        <v>195.46735521329299</v>
      </c>
      <c r="M25" s="4">
        <f t="shared" si="4"/>
        <v>205.24072297395765</v>
      </c>
      <c r="N25" s="12">
        <f t="shared" si="1"/>
        <v>1910.0551824531105</v>
      </c>
    </row>
    <row r="26" spans="1:14" ht="24" customHeight="1" thickBot="1" x14ac:dyDescent="0.3">
      <c r="A26" s="8" t="s">
        <v>4</v>
      </c>
      <c r="B26" s="16">
        <f>SUM(B19:B25)</f>
        <v>1556</v>
      </c>
      <c r="C26" s="17">
        <f t="shared" si="4"/>
        <v>1633.8</v>
      </c>
      <c r="D26" s="17">
        <f t="shared" si="4"/>
        <v>1715.49</v>
      </c>
      <c r="E26" s="17">
        <f t="shared" si="4"/>
        <v>1801.2645</v>
      </c>
      <c r="F26" s="17">
        <f t="shared" si="4"/>
        <v>1891.3277250000001</v>
      </c>
      <c r="G26" s="17">
        <f t="shared" si="4"/>
        <v>1985.8941112500002</v>
      </c>
      <c r="H26" s="17">
        <f t="shared" si="4"/>
        <v>2085.1888168125001</v>
      </c>
      <c r="I26" s="17">
        <f t="shared" si="4"/>
        <v>2189.448257653125</v>
      </c>
      <c r="J26" s="17">
        <f t="shared" si="4"/>
        <v>2298.920670535781</v>
      </c>
      <c r="K26" s="17">
        <f t="shared" si="4"/>
        <v>2413.8667040625701</v>
      </c>
      <c r="L26" s="17">
        <f t="shared" si="4"/>
        <v>2534.5600392656984</v>
      </c>
      <c r="M26" s="17">
        <f t="shared" si="4"/>
        <v>2661.2880412289833</v>
      </c>
      <c r="N26" s="12">
        <f t="shared" si="1"/>
        <v>24767.048865808662</v>
      </c>
    </row>
    <row r="27" spans="1:14" ht="16.5" thickBot="1" x14ac:dyDescent="0.3">
      <c r="A27" s="2"/>
      <c r="B27" s="2"/>
      <c r="C27" s="2"/>
      <c r="D27" s="2"/>
      <c r="E27" s="2"/>
      <c r="F27" s="2"/>
      <c r="G27" s="2"/>
      <c r="H27" s="2"/>
      <c r="I27" s="2"/>
      <c r="J27" s="2"/>
      <c r="K27" s="2"/>
      <c r="L27" s="2"/>
      <c r="M27" s="2"/>
      <c r="N27" s="12">
        <f t="shared" si="1"/>
        <v>0</v>
      </c>
    </row>
    <row r="28" spans="1:14" ht="27" customHeight="1" thickBot="1" x14ac:dyDescent="0.3">
      <c r="A28" s="8" t="s">
        <v>67</v>
      </c>
      <c r="B28" s="12">
        <f>B16-B26</f>
        <v>3944</v>
      </c>
      <c r="C28" s="12">
        <f t="shared" ref="C28:M28" si="5">C16-C26</f>
        <v>4141.2</v>
      </c>
      <c r="D28" s="12">
        <f t="shared" si="5"/>
        <v>4348.26</v>
      </c>
      <c r="E28" s="12">
        <f t="shared" si="5"/>
        <v>4565.6729999999998</v>
      </c>
      <c r="F28" s="12">
        <f t="shared" si="5"/>
        <v>4793.956650000001</v>
      </c>
      <c r="G28" s="12">
        <f t="shared" si="5"/>
        <v>5033.6544825000001</v>
      </c>
      <c r="H28" s="12">
        <f t="shared" si="5"/>
        <v>5285.3372066250013</v>
      </c>
      <c r="I28" s="12">
        <f t="shared" si="5"/>
        <v>5549.6040669562517</v>
      </c>
      <c r="J28" s="12">
        <f t="shared" si="5"/>
        <v>5827.0842703040644</v>
      </c>
      <c r="K28" s="12">
        <f t="shared" si="5"/>
        <v>6118.4384838192691</v>
      </c>
      <c r="L28" s="12">
        <f t="shared" si="5"/>
        <v>6424.3604080102323</v>
      </c>
      <c r="M28" s="12">
        <f t="shared" si="5"/>
        <v>6745.5784284107431</v>
      </c>
      <c r="N28" s="12">
        <f t="shared" si="1"/>
        <v>62777.146996625554</v>
      </c>
    </row>
    <row r="29" spans="1:14" ht="40.5" customHeight="1" thickBot="1" x14ac:dyDescent="0.3">
      <c r="A29" s="7" t="s">
        <v>100</v>
      </c>
      <c r="B29" s="14">
        <f>B28*15%</f>
        <v>591.6</v>
      </c>
      <c r="C29" s="15">
        <f t="shared" ref="C29:M29" si="6">C28*15%</f>
        <v>621.17999999999995</v>
      </c>
      <c r="D29" s="15">
        <f t="shared" si="6"/>
        <v>652.23900000000003</v>
      </c>
      <c r="E29" s="15">
        <f t="shared" si="6"/>
        <v>684.8509499999999</v>
      </c>
      <c r="F29" s="15">
        <f t="shared" si="6"/>
        <v>719.09349750000013</v>
      </c>
      <c r="G29" s="15">
        <f t="shared" si="6"/>
        <v>755.04817237500004</v>
      </c>
      <c r="H29" s="15">
        <f t="shared" si="6"/>
        <v>792.80058099375015</v>
      </c>
      <c r="I29" s="15">
        <f t="shared" si="6"/>
        <v>832.44061004343769</v>
      </c>
      <c r="J29" s="15">
        <f t="shared" si="6"/>
        <v>874.06264054560961</v>
      </c>
      <c r="K29" s="15">
        <f t="shared" si="6"/>
        <v>917.76577257289034</v>
      </c>
      <c r="L29" s="15">
        <f t="shared" si="6"/>
        <v>963.65406120153477</v>
      </c>
      <c r="M29" s="15">
        <f t="shared" si="6"/>
        <v>1011.8367642616114</v>
      </c>
      <c r="N29" s="12">
        <f t="shared" si="1"/>
        <v>9416.5720494938341</v>
      </c>
    </row>
    <row r="30" spans="1:14" ht="16.5" thickBot="1" x14ac:dyDescent="0.3">
      <c r="A30" s="8" t="s">
        <v>5</v>
      </c>
      <c r="B30" s="12">
        <f>B28-B29</f>
        <v>3352.4</v>
      </c>
      <c r="C30" s="12">
        <f t="shared" ref="C30:M30" si="7">C28-C29</f>
        <v>3520.02</v>
      </c>
      <c r="D30" s="12">
        <f t="shared" si="7"/>
        <v>3696.0210000000002</v>
      </c>
      <c r="E30" s="12">
        <f t="shared" si="7"/>
        <v>3880.8220499999998</v>
      </c>
      <c r="F30" s="12">
        <f t="shared" si="7"/>
        <v>4074.863152500001</v>
      </c>
      <c r="G30" s="12">
        <f t="shared" si="7"/>
        <v>4278.6063101250002</v>
      </c>
      <c r="H30" s="12">
        <f t="shared" si="7"/>
        <v>4492.5366256312509</v>
      </c>
      <c r="I30" s="12">
        <f t="shared" si="7"/>
        <v>4717.1634569128137</v>
      </c>
      <c r="J30" s="12">
        <f t="shared" si="7"/>
        <v>4953.0216297584548</v>
      </c>
      <c r="K30" s="12">
        <f t="shared" si="7"/>
        <v>5200.6727112463786</v>
      </c>
      <c r="L30" s="12">
        <f t="shared" si="7"/>
        <v>5460.7063468086972</v>
      </c>
      <c r="M30" s="12">
        <f t="shared" si="7"/>
        <v>5733.7416641491318</v>
      </c>
      <c r="N30" s="12">
        <f t="shared" si="1"/>
        <v>53360.574947131732</v>
      </c>
    </row>
  </sheetData>
  <mergeCells count="13">
    <mergeCell ref="B2:C2"/>
    <mergeCell ref="D2:E2"/>
    <mergeCell ref="H2:I2"/>
    <mergeCell ref="J2:L4"/>
    <mergeCell ref="B3:C3"/>
    <mergeCell ref="H3:I3"/>
    <mergeCell ref="B4:C4"/>
    <mergeCell ref="H4:I4"/>
    <mergeCell ref="B5:C5"/>
    <mergeCell ref="H5:I5"/>
    <mergeCell ref="H6:I6"/>
    <mergeCell ref="B7:G7"/>
    <mergeCell ref="H7:I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7"/>
  <sheetViews>
    <sheetView workbookViewId="0">
      <selection activeCell="C9" sqref="C9"/>
    </sheetView>
  </sheetViews>
  <sheetFormatPr defaultRowHeight="15" x14ac:dyDescent="0.25"/>
  <cols>
    <col min="2" max="2" width="28.28515625" customWidth="1"/>
    <col min="3" max="3" width="15.140625" customWidth="1"/>
    <col min="4" max="4" width="34" customWidth="1"/>
    <col min="5" max="5" width="12.42578125" customWidth="1"/>
  </cols>
  <sheetData>
    <row r="2" spans="2:5" ht="21" thickBot="1" x14ac:dyDescent="0.3">
      <c r="B2" s="97" t="s">
        <v>6</v>
      </c>
      <c r="C2" s="98"/>
      <c r="D2" s="98"/>
      <c r="E2" s="98"/>
    </row>
    <row r="3" spans="2:5" ht="19.5" thickBot="1" x14ac:dyDescent="0.3">
      <c r="B3" s="34" t="s">
        <v>7</v>
      </c>
      <c r="C3" s="36" t="s">
        <v>99</v>
      </c>
      <c r="D3" s="34" t="s">
        <v>19</v>
      </c>
      <c r="E3" s="36" t="s">
        <v>99</v>
      </c>
    </row>
    <row r="4" spans="2:5" ht="16.5" thickBot="1" x14ac:dyDescent="0.3">
      <c r="B4" s="31"/>
      <c r="C4" s="30"/>
      <c r="D4" s="31"/>
      <c r="E4" s="30"/>
    </row>
    <row r="5" spans="2:5" ht="16.5" thickBot="1" x14ac:dyDescent="0.3">
      <c r="B5" s="29" t="s">
        <v>9</v>
      </c>
      <c r="C5" s="30"/>
      <c r="D5" s="29" t="s">
        <v>21</v>
      </c>
      <c r="E5" s="30"/>
    </row>
    <row r="6" spans="2:5" ht="16.5" thickBot="1" x14ac:dyDescent="0.3">
      <c r="B6" s="31" t="s">
        <v>10</v>
      </c>
      <c r="C6" s="32">
        <f>SUM('Balance sheet Year 2'!C6+3000)</f>
        <v>13000</v>
      </c>
      <c r="D6" s="31" t="s">
        <v>22</v>
      </c>
      <c r="E6" s="32">
        <f>SUM('Balance sheet Year 2'!E6,-700)</f>
        <v>1000</v>
      </c>
    </row>
    <row r="7" spans="2:5" ht="16.5" thickBot="1" x14ac:dyDescent="0.3">
      <c r="B7" s="31" t="s">
        <v>11</v>
      </c>
      <c r="C7" s="32">
        <f>SUM('Balance sheet Year 2'!C7,561)</f>
        <v>5561</v>
      </c>
      <c r="D7" s="31" t="s">
        <v>23</v>
      </c>
      <c r="E7" s="32">
        <v>0</v>
      </c>
    </row>
    <row r="8" spans="2:5" ht="16.5" thickBot="1" x14ac:dyDescent="0.3">
      <c r="B8" s="31" t="s">
        <v>12</v>
      </c>
      <c r="C8" s="32">
        <f>SUM('Balance sheet Year 2'!C8,2900)</f>
        <v>16500</v>
      </c>
      <c r="D8" s="31" t="s">
        <v>24</v>
      </c>
      <c r="E8" s="32">
        <v>0</v>
      </c>
    </row>
    <row r="9" spans="2:5" ht="16.5" thickBot="1" x14ac:dyDescent="0.3">
      <c r="B9" s="31" t="s">
        <v>13</v>
      </c>
      <c r="C9" s="32">
        <f>SUM('Balance sheet Year 2'!C9-500)</f>
        <v>10500</v>
      </c>
      <c r="D9" s="29" t="s">
        <v>72</v>
      </c>
      <c r="E9" s="32">
        <f>SUM(E6:E8)</f>
        <v>1000</v>
      </c>
    </row>
    <row r="10" spans="2:5" ht="16.5" thickBot="1" x14ac:dyDescent="0.3">
      <c r="B10" s="29" t="s">
        <v>14</v>
      </c>
      <c r="C10" s="33">
        <f>SUM(C6:C9)</f>
        <v>45561</v>
      </c>
      <c r="D10" s="31"/>
      <c r="E10" s="30"/>
    </row>
    <row r="11" spans="2:5" ht="16.5" thickBot="1" x14ac:dyDescent="0.3">
      <c r="B11" s="31"/>
      <c r="C11" s="30"/>
      <c r="D11" s="29" t="s">
        <v>25</v>
      </c>
      <c r="E11" s="32">
        <f>SUM('Balance sheet Year 2'!E11,-3500)</f>
        <v>3500</v>
      </c>
    </row>
    <row r="12" spans="2:5" ht="16.5" thickBot="1" x14ac:dyDescent="0.3">
      <c r="B12" s="31" t="s">
        <v>15</v>
      </c>
      <c r="C12" s="30"/>
      <c r="D12" s="29" t="s">
        <v>26</v>
      </c>
      <c r="E12" s="32">
        <f>SUM(E9:E11)</f>
        <v>4500</v>
      </c>
    </row>
    <row r="13" spans="2:5" ht="16.5" thickBot="1" x14ac:dyDescent="0.3">
      <c r="B13" s="31" t="s">
        <v>70</v>
      </c>
      <c r="C13" s="32">
        <f>SUM('Balance sheet Year 2'!C13,200)</f>
        <v>12000</v>
      </c>
      <c r="D13" s="31"/>
      <c r="E13" s="30"/>
    </row>
    <row r="14" spans="2:5" ht="16.5" thickBot="1" x14ac:dyDescent="0.3">
      <c r="B14" s="31" t="s">
        <v>15</v>
      </c>
      <c r="C14" s="32">
        <f>SUM('Balance sheet Year 2'!C14+2000)</f>
        <v>18000</v>
      </c>
      <c r="D14" s="31" t="s">
        <v>27</v>
      </c>
      <c r="E14" s="32">
        <f>SUM('Balance sheet Year 2'!E14,-5000)</f>
        <v>15000</v>
      </c>
    </row>
    <row r="15" spans="2:5" ht="16.5" thickBot="1" x14ac:dyDescent="0.3">
      <c r="B15" s="31" t="s">
        <v>16</v>
      </c>
      <c r="C15" s="32">
        <f>-C14*15%</f>
        <v>-2700</v>
      </c>
      <c r="D15" s="31" t="s">
        <v>28</v>
      </c>
      <c r="E15" s="37">
        <f>SUM('Income Statment Year 3'!B30,'Income Statment Year 3'!C30,'Income Statment Year 3'!D30,'Income Statment Year 3'!E30,'Income Statment Year 3'!F30,'Income Statment Year 3'!G30,'Income Statment Year 3'!H30,'Income Statment Year 3'!I30,'Income Statment Year 3'!J30,'Income Statment Year 3'!K30,'Income Statment Year 3'!L30,'Income Statment Year 3'!M30)</f>
        <v>53360.574947131732</v>
      </c>
    </row>
    <row r="16" spans="2:5" ht="16.5" thickBot="1" x14ac:dyDescent="0.3">
      <c r="B16" s="38" t="s">
        <v>17</v>
      </c>
      <c r="C16" s="40">
        <f t="shared" ref="C16" si="0">SUM(C13:C15)</f>
        <v>27300</v>
      </c>
      <c r="D16" s="38" t="s">
        <v>29</v>
      </c>
      <c r="E16" s="40">
        <f t="shared" ref="E16" si="1">SUM(E14:E15)</f>
        <v>68360.574947131739</v>
      </c>
    </row>
    <row r="17" spans="2:5" ht="38.25" thickBot="1" x14ac:dyDescent="0.3">
      <c r="B17" s="41" t="s">
        <v>18</v>
      </c>
      <c r="C17" s="43">
        <f t="shared" ref="C17" si="2">SUM(C10,C16)</f>
        <v>72861</v>
      </c>
      <c r="D17" s="41" t="s">
        <v>30</v>
      </c>
      <c r="E17" s="43">
        <f t="shared" ref="E17" si="3">E16+E12</f>
        <v>72860.574947131739</v>
      </c>
    </row>
  </sheetData>
  <mergeCells count="1">
    <mergeCell ref="B2: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Start Up Cost</vt:lpstr>
      <vt:lpstr>Income Statement Year 1</vt:lpstr>
      <vt:lpstr>Balance sheet Year 1</vt:lpstr>
      <vt:lpstr>Cash Flow Statement Year 1</vt:lpstr>
      <vt:lpstr>Income Statment Year 2</vt:lpstr>
      <vt:lpstr>Balance sheet Year 2</vt:lpstr>
      <vt:lpstr>Cash Flow statement Year 2</vt:lpstr>
      <vt:lpstr>Income Statment Year 3</vt:lpstr>
      <vt:lpstr>Balance sheet Year 3</vt:lpstr>
      <vt:lpstr>Cash Flow statement Year 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Shaveta Rai</dc:creator>
  <cp:lastModifiedBy>CMTNStudent</cp:lastModifiedBy>
  <dcterms:created xsi:type="dcterms:W3CDTF">2025-04-01T20:24:18Z</dcterms:created>
  <dcterms:modified xsi:type="dcterms:W3CDTF">2025-04-01T21:09:39Z</dcterms:modified>
</cp:coreProperties>
</file>